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purfra\Downloads\"/>
    </mc:Choice>
  </mc:AlternateContent>
  <xr:revisionPtr revIDLastSave="0" documentId="8_{242DB015-3452-4E8F-81B7-92DE8CA2E07A}" xr6:coauthVersionLast="47" xr6:coauthVersionMax="47" xr10:uidLastSave="{00000000-0000-0000-0000-000000000000}"/>
  <bookViews>
    <workbookView xWindow="-120" yWindow="-120" windowWidth="29040" windowHeight="15840" activeTab="3" xr2:uid="{00000000-000D-0000-FFFF-FFFF00000000}"/>
  </bookViews>
  <sheets>
    <sheet name="Klíč silnice_final" sheetId="1" r:id="rId1"/>
    <sheet name="Klíč ZZS_původni" sheetId="2" r:id="rId2"/>
    <sheet name="Klíč ZZS_2023 městečka bezpečí" sheetId="10" r:id="rId3"/>
    <sheet name="Klíč ZZS_2025_SOS112" sheetId="11" r:id="rId4"/>
    <sheet name="Klíč SŠ" sheetId="3" r:id="rId5"/>
    <sheet name="Klíč_DI nová 5_2023" sheetId="9" r:id="rId6"/>
    <sheet name="Klíč_Speciální školy" sheetId="8" r:id="rId7"/>
  </sheets>
  <externalReferences>
    <externalReference r:id="rId8"/>
    <externalReference r:id="rId9"/>
  </externalReferences>
  <definedNames>
    <definedName name="detail.SCall">[1]model!$B$32:$B$153</definedName>
    <definedName name="EFRR_SC_Tab_AP">'[1]alokace zjedn. AP - po aktivit.'!$E$8:$E$24</definedName>
    <definedName name="iti.kr">[1]model!$H$189:$H$201</definedName>
    <definedName name="ITI.pocetobci">[1]model!$D$189:$D$201</definedName>
    <definedName name="iti.pocetobyvatel">[1]model!$F$189:$F$201</definedName>
    <definedName name="iti.rozloha">[1]model!$E$189:$E$201</definedName>
    <definedName name="Klimakody.Kod.nazev">'[1]rozpad do aktivit v % + klima'!$C$2:$D$53</definedName>
    <definedName name="nazvy_SC_Tab_AP">'[1]alokace zjedn. AP - po aktivit.'!$C$8:$C$24</definedName>
    <definedName name="PO1celkem">'[2]finanční tabulky'!$L$28:$L$33</definedName>
    <definedName name="PO2celkem">'[2]finanční tabulky'!$L$34:$L$59</definedName>
    <definedName name="PO3celkem">'[2]finanční tabulky'!$L$60:$L$63</definedName>
    <definedName name="PO4celkem">'[2]finanční tabulky'!$L$64:$L$81</definedName>
    <definedName name="PO5celkem">'[2]finanční tabulky'!$L$82:$L$87</definedName>
    <definedName name="priosaSC1KR">'[2]finanční tabulky'!$D$28:$D$33</definedName>
    <definedName name="priosaSC31KR">'[2]finanční tabulky'!$D$60:$D$63</definedName>
    <definedName name="Procenta_SC_Tab_AP">'[1]alokace zjedn. AP - po aktivit.'!$F$8:$F$24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11" l="1"/>
  <c r="D69" i="11" s="1"/>
  <c r="C46" i="11"/>
  <c r="D37" i="11"/>
  <c r="D35" i="11"/>
  <c r="D33" i="11"/>
  <c r="B28" i="11"/>
  <c r="C28" i="11" s="1"/>
  <c r="F27" i="11"/>
  <c r="C23" i="11"/>
  <c r="D14" i="11"/>
  <c r="D13" i="11"/>
  <c r="D12" i="11"/>
  <c r="D11" i="11"/>
  <c r="K10" i="11"/>
  <c r="D10" i="11"/>
  <c r="K9" i="11"/>
  <c r="B5" i="11"/>
  <c r="B29" i="11" s="1"/>
  <c r="C4" i="11"/>
  <c r="E10" i="11" s="1"/>
  <c r="H62" i="10"/>
  <c r="H61" i="10"/>
  <c r="H63" i="10" s="1"/>
  <c r="F62" i="10"/>
  <c r="F61" i="10"/>
  <c r="D68" i="10"/>
  <c r="D33" i="10"/>
  <c r="D10" i="10"/>
  <c r="D22" i="10"/>
  <c r="D21" i="10"/>
  <c r="D20" i="10"/>
  <c r="D19" i="10"/>
  <c r="D18" i="10"/>
  <c r="D17" i="10"/>
  <c r="D16" i="10"/>
  <c r="D15" i="10"/>
  <c r="D14" i="10"/>
  <c r="D13" i="10"/>
  <c r="D12" i="10"/>
  <c r="D11" i="10"/>
  <c r="B5" i="10"/>
  <c r="B29" i="10" s="1"/>
  <c r="C46" i="10"/>
  <c r="D37" i="10"/>
  <c r="D36" i="10"/>
  <c r="D35" i="10"/>
  <c r="D34" i="10"/>
  <c r="C28" i="10"/>
  <c r="E37" i="10" s="1"/>
  <c r="B28" i="10"/>
  <c r="E14" i="10"/>
  <c r="E13" i="10"/>
  <c r="E12" i="10"/>
  <c r="E11" i="10"/>
  <c r="C4" i="10"/>
  <c r="C21" i="9"/>
  <c r="B21" i="9"/>
  <c r="C20" i="9"/>
  <c r="C19" i="9"/>
  <c r="C18" i="9"/>
  <c r="C17" i="9"/>
  <c r="C16" i="9"/>
  <c r="C15" i="9"/>
  <c r="C14" i="9"/>
  <c r="C13" i="9"/>
  <c r="C12" i="9"/>
  <c r="C11" i="9"/>
  <c r="C10" i="9"/>
  <c r="C9" i="9"/>
  <c r="C8" i="9"/>
  <c r="C4" i="9"/>
  <c r="B4" i="9"/>
  <c r="C3" i="9"/>
  <c r="B3" i="9"/>
  <c r="D43" i="11" l="1"/>
  <c r="C29" i="11"/>
  <c r="D39" i="11"/>
  <c r="D44" i="11"/>
  <c r="D42" i="11"/>
  <c r="D40" i="11"/>
  <c r="D38" i="11"/>
  <c r="D45" i="11"/>
  <c r="D41" i="11"/>
  <c r="E36" i="11"/>
  <c r="E34" i="11"/>
  <c r="E37" i="11"/>
  <c r="E35" i="11"/>
  <c r="E33" i="11"/>
  <c r="C61" i="11"/>
  <c r="C54" i="11"/>
  <c r="C55" i="11"/>
  <c r="C68" i="11"/>
  <c r="C60" i="11"/>
  <c r="C53" i="11"/>
  <c r="C63" i="11"/>
  <c r="C67" i="11"/>
  <c r="C59" i="11"/>
  <c r="C66" i="11"/>
  <c r="C62" i="11"/>
  <c r="C65" i="11"/>
  <c r="C64" i="11"/>
  <c r="C57" i="11"/>
  <c r="C56" i="11"/>
  <c r="E14" i="11"/>
  <c r="B6" i="11"/>
  <c r="D15" i="11"/>
  <c r="D17" i="11"/>
  <c r="D19" i="11"/>
  <c r="D21" i="11"/>
  <c r="C58" i="11"/>
  <c r="C5" i="11"/>
  <c r="C6" i="11"/>
  <c r="E13" i="11"/>
  <c r="D34" i="11"/>
  <c r="D36" i="11"/>
  <c r="E12" i="11"/>
  <c r="E11" i="11"/>
  <c r="D16" i="11"/>
  <c r="D18" i="11"/>
  <c r="D20" i="11"/>
  <c r="D22" i="11"/>
  <c r="C5" i="10"/>
  <c r="E21" i="10" s="1"/>
  <c r="C23" i="10"/>
  <c r="E10" i="10"/>
  <c r="D45" i="10"/>
  <c r="D40" i="10"/>
  <c r="D39" i="10"/>
  <c r="D43" i="10"/>
  <c r="D38" i="10"/>
  <c r="D44" i="10"/>
  <c r="C29" i="10"/>
  <c r="E44" i="10" s="1"/>
  <c r="D42" i="10"/>
  <c r="D41" i="10"/>
  <c r="B6" i="10"/>
  <c r="F27" i="10"/>
  <c r="E15" i="10"/>
  <c r="E18" i="10"/>
  <c r="E22" i="10"/>
  <c r="E38" i="10"/>
  <c r="E16" i="10"/>
  <c r="E20" i="10"/>
  <c r="C6" i="10"/>
  <c r="E17" i="10"/>
  <c r="E40" i="10"/>
  <c r="E34" i="10"/>
  <c r="E36" i="10"/>
  <c r="E33" i="10"/>
  <c r="E35" i="10"/>
  <c r="E39" i="10"/>
  <c r="E41" i="10"/>
  <c r="E43" i="10"/>
  <c r="B28" i="8"/>
  <c r="E8" i="8"/>
  <c r="E14" i="8"/>
  <c r="E16" i="8"/>
  <c r="E17" i="8"/>
  <c r="E18" i="8"/>
  <c r="E19" i="8"/>
  <c r="E20" i="8"/>
  <c r="E21" i="8"/>
  <c r="E22" i="8"/>
  <c r="E15" i="8"/>
  <c r="E10" i="8"/>
  <c r="E11" i="8"/>
  <c r="E12" i="8"/>
  <c r="E13" i="8"/>
  <c r="E9" i="8"/>
  <c r="E27" i="8"/>
  <c r="D26" i="8"/>
  <c r="E26" i="8"/>
  <c r="D27" i="8"/>
  <c r="D8" i="8"/>
  <c r="D14" i="8"/>
  <c r="D7" i="8"/>
  <c r="E16" i="11" l="1"/>
  <c r="E19" i="11"/>
  <c r="E15" i="11"/>
  <c r="F12" i="11" s="1"/>
  <c r="G12" i="11" s="1"/>
  <c r="E22" i="11"/>
  <c r="E21" i="11"/>
  <c r="E17" i="11"/>
  <c r="F13" i="11" s="1"/>
  <c r="G13" i="11" s="1"/>
  <c r="E18" i="11"/>
  <c r="F18" i="11" s="1"/>
  <c r="G18" i="11" s="1"/>
  <c r="E20" i="11"/>
  <c r="E44" i="11"/>
  <c r="E42" i="11"/>
  <c r="E40" i="11"/>
  <c r="E38" i="11"/>
  <c r="F35" i="11" s="1"/>
  <c r="G35" i="11" s="1"/>
  <c r="E45" i="11"/>
  <c r="E43" i="11"/>
  <c r="E41" i="11"/>
  <c r="E39" i="11"/>
  <c r="F39" i="11" s="1"/>
  <c r="G39" i="11" s="1"/>
  <c r="E19" i="10"/>
  <c r="F19" i="10" s="1"/>
  <c r="G19" i="10" s="1"/>
  <c r="E45" i="10"/>
  <c r="E42" i="10"/>
  <c r="F41" i="10" s="1"/>
  <c r="G41" i="10" s="1"/>
  <c r="F12" i="10"/>
  <c r="G12" i="10" s="1"/>
  <c r="F39" i="10"/>
  <c r="G39" i="10" s="1"/>
  <c r="B29" i="2"/>
  <c r="F43" i="11" l="1"/>
  <c r="G43" i="11" s="1"/>
  <c r="F45" i="11"/>
  <c r="G45" i="11" s="1"/>
  <c r="F34" i="11"/>
  <c r="G34" i="11" s="1"/>
  <c r="F22" i="11"/>
  <c r="G22" i="11" s="1"/>
  <c r="F41" i="11"/>
  <c r="G41" i="11" s="1"/>
  <c r="F21" i="11"/>
  <c r="G21" i="11" s="1"/>
  <c r="F40" i="11"/>
  <c r="G40" i="11" s="1"/>
  <c r="F19" i="11"/>
  <c r="G19" i="11" s="1"/>
  <c r="F36" i="11"/>
  <c r="G36" i="11" s="1"/>
  <c r="F37" i="11"/>
  <c r="G37" i="11" s="1"/>
  <c r="F38" i="11"/>
  <c r="G38" i="11" s="1"/>
  <c r="F42" i="11"/>
  <c r="G42" i="11" s="1"/>
  <c r="F33" i="11"/>
  <c r="G33" i="11" s="1"/>
  <c r="F16" i="11"/>
  <c r="G16" i="11" s="1"/>
  <c r="F17" i="11"/>
  <c r="G17" i="11" s="1"/>
  <c r="F15" i="11"/>
  <c r="G15" i="11" s="1"/>
  <c r="F11" i="11"/>
  <c r="G11" i="11" s="1"/>
  <c r="F14" i="11"/>
  <c r="G14" i="11" s="1"/>
  <c r="F44" i="11"/>
  <c r="G44" i="11" s="1"/>
  <c r="F20" i="11"/>
  <c r="G20" i="11" s="1"/>
  <c r="F10" i="11"/>
  <c r="G10" i="11" s="1"/>
  <c r="F18" i="10"/>
  <c r="G18" i="10" s="1"/>
  <c r="F22" i="10"/>
  <c r="G22" i="10" s="1"/>
  <c r="F42" i="10"/>
  <c r="G42" i="10" s="1"/>
  <c r="F21" i="10"/>
  <c r="G21" i="10" s="1"/>
  <c r="F37" i="10"/>
  <c r="G37" i="10" s="1"/>
  <c r="F10" i="10"/>
  <c r="G10" i="10" s="1"/>
  <c r="F15" i="10"/>
  <c r="G15" i="10" s="1"/>
  <c r="F14" i="10"/>
  <c r="G14" i="10" s="1"/>
  <c r="F11" i="10"/>
  <c r="G11" i="10" s="1"/>
  <c r="F13" i="10"/>
  <c r="G13" i="10" s="1"/>
  <c r="F16" i="10"/>
  <c r="G16" i="10" s="1"/>
  <c r="F20" i="10"/>
  <c r="G20" i="10" s="1"/>
  <c r="F17" i="10"/>
  <c r="G17" i="10" s="1"/>
  <c r="F36" i="10"/>
  <c r="G36" i="10" s="1"/>
  <c r="F38" i="10"/>
  <c r="G38" i="10" s="1"/>
  <c r="F43" i="10"/>
  <c r="G43" i="10" s="1"/>
  <c r="F34" i="10"/>
  <c r="G34" i="10" s="1"/>
  <c r="F45" i="10"/>
  <c r="G45" i="10" s="1"/>
  <c r="F44" i="10"/>
  <c r="G44" i="10" s="1"/>
  <c r="F40" i="10"/>
  <c r="G40" i="10" s="1"/>
  <c r="F33" i="10"/>
  <c r="G33" i="10" s="1"/>
  <c r="F35" i="10"/>
  <c r="G35" i="10" s="1"/>
  <c r="B28" i="3"/>
  <c r="B27" i="3"/>
  <c r="B27" i="1" l="1"/>
  <c r="B28" i="2"/>
  <c r="B3" i="3" l="1"/>
  <c r="B6" i="3" l="1"/>
  <c r="B6" i="2"/>
  <c r="D23" i="3" l="1"/>
  <c r="C23" i="3"/>
  <c r="C22" i="3"/>
  <c r="C21" i="3"/>
  <c r="C20" i="3"/>
  <c r="C19" i="3"/>
  <c r="C18" i="3"/>
  <c r="C17" i="3"/>
  <c r="C16" i="3"/>
  <c r="C15" i="3"/>
  <c r="C14" i="3"/>
  <c r="C13" i="3"/>
  <c r="C12" i="3"/>
  <c r="C11" i="3"/>
  <c r="C10" i="3"/>
  <c r="C5" i="3"/>
  <c r="C4" i="3"/>
  <c r="C3" i="3"/>
  <c r="D22" i="2"/>
  <c r="D21" i="2"/>
  <c r="D20" i="2"/>
  <c r="D19" i="2"/>
  <c r="D18" i="2"/>
  <c r="D17" i="2"/>
  <c r="D16" i="2"/>
  <c r="D15" i="2"/>
  <c r="D11" i="2"/>
  <c r="D12" i="2"/>
  <c r="D13" i="2"/>
  <c r="D14" i="2"/>
  <c r="D10" i="2"/>
  <c r="C23" i="2"/>
  <c r="C5" i="2"/>
  <c r="C4" i="2"/>
  <c r="D10" i="1"/>
  <c r="D11" i="1"/>
  <c r="D12" i="1"/>
  <c r="D13" i="1"/>
  <c r="D9" i="1"/>
  <c r="C3" i="1"/>
  <c r="E23" i="3" l="1"/>
  <c r="C6" i="3"/>
  <c r="E14" i="2"/>
  <c r="C6" i="2"/>
  <c r="E10" i="1"/>
  <c r="E11" i="1"/>
  <c r="E12" i="1"/>
  <c r="E13" i="1"/>
  <c r="E9" i="1"/>
  <c r="E22" i="2"/>
  <c r="E16" i="2"/>
  <c r="E15" i="2"/>
  <c r="C24" i="3"/>
  <c r="E19" i="2"/>
  <c r="E20" i="2"/>
  <c r="H23" i="3"/>
  <c r="E17" i="2"/>
  <c r="E21" i="2"/>
  <c r="E18" i="2"/>
  <c r="E13" i="2"/>
  <c r="E11" i="2"/>
  <c r="E12" i="2"/>
  <c r="E10" i="2"/>
  <c r="I13" i="1"/>
  <c r="F10" i="2" l="1"/>
  <c r="G10" i="2" s="1"/>
  <c r="F14" i="2"/>
  <c r="G14" i="2" s="1"/>
  <c r="F12" i="2"/>
  <c r="G12" i="2" s="1"/>
  <c r="F11" i="2"/>
  <c r="G11" i="2" s="1"/>
  <c r="F13" i="2"/>
  <c r="G13" i="2" s="1"/>
  <c r="F18" i="2"/>
  <c r="G18" i="2" s="1"/>
  <c r="F21" i="2"/>
  <c r="G21" i="2" s="1"/>
  <c r="F17" i="2"/>
  <c r="G17" i="2" s="1"/>
  <c r="F20" i="2"/>
  <c r="G20" i="2" s="1"/>
  <c r="F19" i="2"/>
  <c r="G19" i="2" s="1"/>
  <c r="F15" i="2"/>
  <c r="G15" i="2" s="1"/>
  <c r="F16" i="2"/>
  <c r="G16" i="2" s="1"/>
  <c r="F22" i="2"/>
  <c r="G22" i="2" s="1"/>
  <c r="I9" i="1"/>
  <c r="I12" i="1"/>
  <c r="I11" i="1"/>
  <c r="I10" i="1"/>
  <c r="C27" i="1" l="1"/>
  <c r="C28" i="2" l="1"/>
  <c r="C27" i="3"/>
  <c r="C28" i="3"/>
  <c r="C26" i="3"/>
  <c r="C29" i="2" l="1"/>
  <c r="D45" i="3" l="1"/>
  <c r="E39" i="2"/>
  <c r="E40" i="2"/>
  <c r="E41" i="2"/>
  <c r="E42" i="2"/>
  <c r="E43" i="2"/>
  <c r="E44" i="2"/>
  <c r="E45" i="2"/>
  <c r="E38" i="2"/>
  <c r="D39" i="2"/>
  <c r="D40" i="2"/>
  <c r="D41" i="2"/>
  <c r="D42" i="2"/>
  <c r="D43" i="2"/>
  <c r="D44" i="2"/>
  <c r="D45" i="2"/>
  <c r="D38" i="2"/>
  <c r="D34" i="2"/>
  <c r="D35" i="2"/>
  <c r="D36" i="2"/>
  <c r="D37" i="2"/>
  <c r="D33" i="2"/>
  <c r="E34" i="2"/>
  <c r="E35" i="2"/>
  <c r="E36" i="2"/>
  <c r="E37" i="2"/>
  <c r="E33" i="2"/>
  <c r="D34" i="1"/>
  <c r="D35" i="1"/>
  <c r="D36" i="1"/>
  <c r="D37" i="1"/>
  <c r="D33" i="1"/>
  <c r="F36" i="2" l="1"/>
  <c r="F35" i="2"/>
  <c r="F45" i="2"/>
  <c r="F41" i="2"/>
  <c r="F33" i="2"/>
  <c r="F39" i="2"/>
  <c r="F42" i="2"/>
  <c r="F44" i="2"/>
  <c r="F40" i="2"/>
  <c r="F43" i="2"/>
  <c r="F38" i="2"/>
  <c r="F34" i="2"/>
  <c r="F37" i="2"/>
  <c r="C45" i="3" l="1"/>
  <c r="C44" i="3"/>
  <c r="C43" i="3"/>
  <c r="C42" i="3"/>
  <c r="C41" i="3"/>
  <c r="C40" i="3"/>
  <c r="C39" i="3"/>
  <c r="C38" i="3"/>
  <c r="C37" i="3"/>
  <c r="C36" i="3"/>
  <c r="C35" i="3"/>
  <c r="C34" i="3"/>
  <c r="C33" i="3"/>
  <c r="C32" i="3"/>
  <c r="E45" i="3"/>
  <c r="C46" i="2"/>
  <c r="D32" i="3" l="1"/>
  <c r="E10" i="3"/>
  <c r="D10" i="3"/>
  <c r="D11" i="3"/>
  <c r="E11" i="3"/>
  <c r="D12" i="3"/>
  <c r="E12" i="3"/>
  <c r="D13" i="3"/>
  <c r="E13" i="3"/>
  <c r="D14" i="3"/>
  <c r="E14" i="3"/>
  <c r="D37" i="3"/>
  <c r="E15" i="3"/>
  <c r="D15" i="3"/>
  <c r="D16" i="3"/>
  <c r="E16" i="3"/>
  <c r="D17" i="3"/>
  <c r="E17" i="3"/>
  <c r="D18" i="3"/>
  <c r="E18" i="3"/>
  <c r="D19" i="3"/>
  <c r="E19" i="3"/>
  <c r="D20" i="3"/>
  <c r="E20" i="3"/>
  <c r="D21" i="3"/>
  <c r="E21" i="3"/>
  <c r="D22" i="3"/>
  <c r="E22" i="3"/>
  <c r="D33" i="3"/>
  <c r="D34" i="3"/>
  <c r="D35" i="3"/>
  <c r="D36" i="3"/>
  <c r="D38" i="3"/>
  <c r="D39" i="3"/>
  <c r="D40" i="3"/>
  <c r="D41" i="3"/>
  <c r="D42" i="3"/>
  <c r="D43" i="3"/>
  <c r="D44" i="3"/>
  <c r="E43" i="3"/>
  <c r="H43" i="3" s="1"/>
  <c r="G36" i="2"/>
  <c r="G35" i="2"/>
  <c r="G34" i="2"/>
  <c r="G33" i="2"/>
  <c r="G39" i="2"/>
  <c r="E35" i="1"/>
  <c r="E36" i="1"/>
  <c r="E37" i="1"/>
  <c r="E34" i="1"/>
  <c r="E33" i="1"/>
  <c r="I33" i="1" s="1"/>
  <c r="G44" i="2"/>
  <c r="G40" i="2"/>
  <c r="G38" i="2"/>
  <c r="G43" i="2"/>
  <c r="G37" i="2"/>
  <c r="G41" i="2"/>
  <c r="G42" i="2"/>
  <c r="E35" i="3"/>
  <c r="E33" i="3"/>
  <c r="G45" i="2"/>
  <c r="H45" i="3"/>
  <c r="C46" i="3"/>
  <c r="E32" i="3"/>
  <c r="E34" i="3"/>
  <c r="E36" i="3"/>
  <c r="E38" i="3"/>
  <c r="E40" i="3"/>
  <c r="E42" i="3"/>
  <c r="E44" i="3"/>
  <c r="E37" i="3"/>
  <c r="E39" i="3"/>
  <c r="E41" i="3"/>
  <c r="F22" i="3" l="1"/>
  <c r="G22" i="3" s="1"/>
  <c r="H22" i="3"/>
  <c r="F21" i="3"/>
  <c r="G21" i="3" s="1"/>
  <c r="H21" i="3"/>
  <c r="F20" i="3"/>
  <c r="G20" i="3" s="1"/>
  <c r="H20" i="3"/>
  <c r="F19" i="3"/>
  <c r="G19" i="3" s="1"/>
  <c r="H19" i="3"/>
  <c r="F18" i="3"/>
  <c r="G18" i="3" s="1"/>
  <c r="H18" i="3"/>
  <c r="F17" i="3"/>
  <c r="G17" i="3" s="1"/>
  <c r="H17" i="3"/>
  <c r="F16" i="3"/>
  <c r="G16" i="3" s="1"/>
  <c r="H16" i="3"/>
  <c r="F15" i="3"/>
  <c r="G15" i="3" s="1"/>
  <c r="H15" i="3"/>
  <c r="F14" i="3"/>
  <c r="G14" i="3" s="1"/>
  <c r="H14" i="3"/>
  <c r="F13" i="3"/>
  <c r="G13" i="3" s="1"/>
  <c r="H13" i="3"/>
  <c r="F12" i="3"/>
  <c r="G12" i="3" s="1"/>
  <c r="H12" i="3"/>
  <c r="F11" i="3"/>
  <c r="G11" i="3" s="1"/>
  <c r="H11" i="3"/>
  <c r="F10" i="3"/>
  <c r="G10" i="3" s="1"/>
  <c r="F23" i="3"/>
  <c r="G23" i="3" s="1"/>
  <c r="H10" i="3"/>
  <c r="I34" i="1"/>
  <c r="I37" i="1"/>
  <c r="I36" i="1"/>
  <c r="I35" i="1"/>
  <c r="H39" i="3"/>
  <c r="F39" i="3"/>
  <c r="G39" i="3" s="1"/>
  <c r="F40" i="3"/>
  <c r="G40" i="3" s="1"/>
  <c r="H40" i="3"/>
  <c r="H35" i="3"/>
  <c r="F35" i="3"/>
  <c r="G35" i="3" s="1"/>
  <c r="H41" i="3"/>
  <c r="F41" i="3"/>
  <c r="G41" i="3" s="1"/>
  <c r="F42" i="3"/>
  <c r="G42" i="3" s="1"/>
  <c r="H42" i="3"/>
  <c r="F38" i="3"/>
  <c r="G38" i="3" s="1"/>
  <c r="H38" i="3"/>
  <c r="F36" i="3"/>
  <c r="G36" i="3" s="1"/>
  <c r="H36" i="3"/>
  <c r="F32" i="3"/>
  <c r="G32" i="3" s="1"/>
  <c r="H32" i="3"/>
  <c r="F43" i="3"/>
  <c r="G43" i="3" s="1"/>
  <c r="F34" i="3"/>
  <c r="G34" i="3" s="1"/>
  <c r="H34" i="3"/>
  <c r="H37" i="3"/>
  <c r="F37" i="3"/>
  <c r="G37" i="3" s="1"/>
  <c r="F44" i="3"/>
  <c r="G44" i="3" s="1"/>
  <c r="H44" i="3"/>
  <c r="F45" i="3"/>
  <c r="G45" i="3" s="1"/>
  <c r="H33" i="3"/>
  <c r="F33" i="3"/>
  <c r="G33" i="3" s="1"/>
  <c r="D18" i="1" l="1"/>
  <c r="D16" i="1"/>
  <c r="D19" i="1"/>
  <c r="D14" i="1"/>
  <c r="D20" i="1"/>
  <c r="D17" i="1"/>
  <c r="D21" i="1"/>
  <c r="D15" i="1"/>
  <c r="B5" i="1"/>
  <c r="C4" i="1"/>
  <c r="B28" i="1"/>
  <c r="D44" i="1" s="1"/>
  <c r="F11" i="1" l="1"/>
  <c r="G11" i="1" s="1"/>
  <c r="C5" i="1"/>
  <c r="C28" i="1"/>
  <c r="B29" i="1"/>
  <c r="D43" i="1"/>
  <c r="E18" i="1"/>
  <c r="E21" i="1"/>
  <c r="E16" i="1"/>
  <c r="E40" i="1"/>
  <c r="D41" i="1"/>
  <c r="D45" i="1"/>
  <c r="F34" i="1"/>
  <c r="G34" i="1" s="1"/>
  <c r="E17" i="1"/>
  <c r="E43" i="1"/>
  <c r="F10" i="1"/>
  <c r="G10" i="1" s="1"/>
  <c r="D40" i="1"/>
  <c r="D39" i="1"/>
  <c r="E19" i="1"/>
  <c r="E20" i="1"/>
  <c r="E39" i="1"/>
  <c r="F12" i="1"/>
  <c r="G12" i="1" s="1"/>
  <c r="E45" i="1"/>
  <c r="F9" i="1"/>
  <c r="G9" i="1" s="1"/>
  <c r="D38" i="1"/>
  <c r="F13" i="1"/>
  <c r="G13" i="1" s="1"/>
  <c r="E14" i="1"/>
  <c r="E15" i="1"/>
  <c r="D42" i="1"/>
  <c r="E38" i="1" l="1"/>
  <c r="C29" i="1"/>
  <c r="E44" i="1"/>
  <c r="E41" i="1"/>
  <c r="F33" i="1"/>
  <c r="G33" i="1" s="1"/>
  <c r="F35" i="1"/>
  <c r="G35" i="1" s="1"/>
  <c r="F36" i="1"/>
  <c r="G36" i="1" s="1"/>
  <c r="E42" i="1"/>
  <c r="F37" i="1"/>
  <c r="G37" i="1" s="1"/>
  <c r="F39" i="1"/>
  <c r="G39" i="1" s="1"/>
  <c r="I39" i="1"/>
  <c r="I18" i="1"/>
  <c r="F18" i="1"/>
  <c r="G18" i="1" s="1"/>
  <c r="F20" i="1"/>
  <c r="G20" i="1" s="1"/>
  <c r="I20" i="1"/>
  <c r="I43" i="1"/>
  <c r="F43" i="1"/>
  <c r="G43" i="1" s="1"/>
  <c r="I16" i="1"/>
  <c r="F16" i="1"/>
  <c r="G16" i="1" s="1"/>
  <c r="I44" i="1"/>
  <c r="F44" i="1"/>
  <c r="G44" i="1" s="1"/>
  <c r="F19" i="1"/>
  <c r="G19" i="1" s="1"/>
  <c r="I19" i="1"/>
  <c r="F17" i="1"/>
  <c r="G17" i="1" s="1"/>
  <c r="I17" i="1"/>
  <c r="F41" i="1"/>
  <c r="G41" i="1" s="1"/>
  <c r="I41" i="1"/>
  <c r="F21" i="1"/>
  <c r="G21" i="1" s="1"/>
  <c r="I21" i="1"/>
  <c r="I40" i="1"/>
  <c r="F40" i="1"/>
  <c r="G40" i="1" s="1"/>
  <c r="I15" i="1"/>
  <c r="F15" i="1"/>
  <c r="G15" i="1" s="1"/>
  <c r="I45" i="1"/>
  <c r="F45" i="1"/>
  <c r="G45" i="1" s="1"/>
  <c r="I14" i="1"/>
  <c r="F14" i="1"/>
  <c r="G14" i="1" s="1"/>
  <c r="F42" i="1"/>
  <c r="G42" i="1" s="1"/>
  <c r="I42" i="1"/>
  <c r="F38" i="1" l="1"/>
  <c r="G38" i="1" s="1"/>
  <c r="I38" i="1"/>
</calcChain>
</file>

<file path=xl/sharedStrings.xml><?xml version="1.0" encoding="utf-8"?>
<sst xmlns="http://schemas.openxmlformats.org/spreadsheetml/2006/main" count="522" uniqueCount="102">
  <si>
    <t>IROP - klíč silnice</t>
  </si>
  <si>
    <t>EFRR</t>
  </si>
  <si>
    <t>EFRR + SR</t>
  </si>
  <si>
    <t>Přechodové</t>
  </si>
  <si>
    <t>+ 15 %</t>
  </si>
  <si>
    <t>Kč</t>
  </si>
  <si>
    <t>Méně rozvinuté</t>
  </si>
  <si>
    <t>VARIANTA 3
průměr variant 1 a 2</t>
  </si>
  <si>
    <t>Prioritní síť 
tis. km</t>
  </si>
  <si>
    <t>EFRR + SR / tis. km prioritní sítě</t>
  </si>
  <si>
    <t>tis. km</t>
  </si>
  <si>
    <t>AK %</t>
  </si>
  <si>
    <t>EFRR + SR (%)</t>
  </si>
  <si>
    <t xml:space="preserve">změna </t>
  </si>
  <si>
    <t>Jihočeský kraj</t>
  </si>
  <si>
    <t>Jihomoravský kraj</t>
  </si>
  <si>
    <t>Kraj Vysočina</t>
  </si>
  <si>
    <t>Plzeňský kraj</t>
  </si>
  <si>
    <t>Středočeský kraj</t>
  </si>
  <si>
    <t>Karlovarský kraj</t>
  </si>
  <si>
    <t>Královéhradecký kraj</t>
  </si>
  <si>
    <t>Liberecký kraj</t>
  </si>
  <si>
    <t>Moravskoslezský kraj</t>
  </si>
  <si>
    <t>Olomoucký kraj</t>
  </si>
  <si>
    <t>Pardubický kraj</t>
  </si>
  <si>
    <t>Ústecký kraj</t>
  </si>
  <si>
    <t>Zlínský kraj</t>
  </si>
  <si>
    <t>Celkem</t>
  </si>
  <si>
    <t>EUR</t>
  </si>
  <si>
    <t>IROP - klíč ZZS</t>
  </si>
  <si>
    <t>VARIANTA 11
počet výjezdových základem a výjezdových skupin (50 : 50)</t>
  </si>
  <si>
    <t>počet</t>
  </si>
  <si>
    <t>34 a 52,5</t>
  </si>
  <si>
    <t>23 a 45,5</t>
  </si>
  <si>
    <t>22 a 30</t>
  </si>
  <si>
    <t>27 a 46</t>
  </si>
  <si>
    <t>44 a 83</t>
  </si>
  <si>
    <t>13 a 22,5</t>
  </si>
  <si>
    <t>16 a 30,5</t>
  </si>
  <si>
    <t>15 a 31</t>
  </si>
  <si>
    <t>35 a 64,4</t>
  </si>
  <si>
    <t>16 a 30</t>
  </si>
  <si>
    <t>18 a 31</t>
  </si>
  <si>
    <t>22 a 44,5</t>
  </si>
  <si>
    <t>16 a 34</t>
  </si>
  <si>
    <t>IROP - klíč SŠ</t>
  </si>
  <si>
    <t>Vícerozvínuté</t>
  </si>
  <si>
    <t>+ 50 %</t>
  </si>
  <si>
    <t>+ 20 %</t>
  </si>
  <si>
    <t>+ 5 %</t>
  </si>
  <si>
    <t>Počet žáků / studentů SŠ, VOŠ a konzervatoří</t>
  </si>
  <si>
    <t>EFRR + SR / student</t>
  </si>
  <si>
    <t>Praha</t>
  </si>
  <si>
    <t>IROP - klíč deinstitucionalizace</t>
  </si>
  <si>
    <t>Popisky řádků</t>
  </si>
  <si>
    <t>Požadovaná částka z EFRR (CZK)</t>
  </si>
  <si>
    <t>EFRR + SR (CZK)</t>
  </si>
  <si>
    <t>Celkový součet</t>
  </si>
  <si>
    <t xml:space="preserve">Schválení korespondenčně ve dnech 18. 5. až 31. 5. 2023 Usnesením číslo NSK-9/2023. Z celkového počtu 66 členů Národní stálé konference reagovalo na usnesení č. NSK-9/2023 v termínu 53 členů. Z toho 51 členů vyjádřilo souhlas s usnesením, obdrželi jsme 1 nesouhlas a 1 nevyjádření se. Po termínu jsme obdrželi další 1 souhlas od náhradníka člena.   </t>
  </si>
  <si>
    <r>
      <rPr>
        <b/>
        <sz val="10"/>
        <color theme="1"/>
        <rFont val="Arial"/>
        <family val="2"/>
        <charset val="238"/>
      </rPr>
      <t xml:space="preserve">Závěr:  </t>
    </r>
    <r>
      <rPr>
        <sz val="10"/>
        <color theme="1"/>
        <rFont val="Arial"/>
        <family val="2"/>
        <charset val="238"/>
      </rPr>
      <t xml:space="preserve"> 
Usnesení číslo NSK-9/2023 v hlasování per rollam ve dnech 18.5. - 31.5. 2022 bylo Národní stálou konferencí schváleno.  </t>
    </r>
  </si>
  <si>
    <t>IROP - klíč Poradny a speciální školy</t>
  </si>
  <si>
    <t>Území</t>
  </si>
  <si>
    <t>Děti a žáci se SVP celkem v MŠ, ZŠ a SŠ</t>
  </si>
  <si>
    <t>Alokace</t>
  </si>
  <si>
    <t>celkem</t>
  </si>
  <si>
    <t>Česko</t>
  </si>
  <si>
    <t>CZ0</t>
  </si>
  <si>
    <t>děti a žáci</t>
  </si>
  <si>
    <t>Přechodové regiony</t>
  </si>
  <si>
    <t>CZ020</t>
  </si>
  <si>
    <t>CZ031</t>
  </si>
  <si>
    <t>CZ032</t>
  </si>
  <si>
    <t>CZ063</t>
  </si>
  <si>
    <t>CZ064</t>
  </si>
  <si>
    <t>Méně rozvinuté regiony</t>
  </si>
  <si>
    <t>CZ041</t>
  </si>
  <si>
    <t>CZ042</t>
  </si>
  <si>
    <t>CZ051</t>
  </si>
  <si>
    <t>CZ052</t>
  </si>
  <si>
    <t>CZ053</t>
  </si>
  <si>
    <t>CZ071</t>
  </si>
  <si>
    <t>CZ072</t>
  </si>
  <si>
    <t>CZ080</t>
  </si>
  <si>
    <t>Typ regionu</t>
  </si>
  <si>
    <t>Celkový počet dětí žáků se SVP</t>
  </si>
  <si>
    <t>Výše finančních prostředků na jedno dítě/žáka</t>
  </si>
  <si>
    <t>IROP - klíč ZZS + navýšení městečka bezpečí (OLK a MSK)</t>
  </si>
  <si>
    <t>VARIANTA 10. 11. 2023
počet výjezdových základem a výjezdových skupin (50 : 50)</t>
  </si>
  <si>
    <t>Moravskoslezský kraj*</t>
  </si>
  <si>
    <t>Olomoucký kraj*</t>
  </si>
  <si>
    <t>Z alokace MSK vyčleněno na centra bezpečí*</t>
  </si>
  <si>
    <t>Z alokace OLK vyčleněno na centra bezpečí*</t>
  </si>
  <si>
    <t>EFRR v Kč</t>
  </si>
  <si>
    <t>-</t>
  </si>
  <si>
    <r>
      <t xml:space="preserve">IROP - klíč ZZS + navýšení městečka bezpečí (OLK a MSK) + </t>
    </r>
    <r>
      <rPr>
        <b/>
        <sz val="14"/>
        <color rgb="FFFF0000"/>
        <rFont val="Calibri"/>
        <family val="2"/>
        <charset val="238"/>
        <scheme val="minor"/>
      </rPr>
      <t>navýšení SOS112 (KVK)</t>
    </r>
  </si>
  <si>
    <r>
      <t xml:space="preserve">Vysvětlení dodatečné alokace doplněné pro projekt SOS 112 Karlovarského kraje (žlutě podbarvené)
</t>
    </r>
    <r>
      <rPr>
        <sz val="10"/>
        <color rgb="FFFF0000"/>
        <rFont val="Arial"/>
        <family val="2"/>
        <charset val="238"/>
      </rPr>
      <t>Realokace účelově vázaných prostředků ve prospěch Karlovarského kraje na realizaci projektového záměru Společného operačního střediska složek integrovaného záchranného systému Karlovarského kraje (dále jen „SOS 112“). Částka ve výši 85 mil. Kč (EU podíl) je provedena z výzvy číslo 19, která z hlediska vyčlěného poměru prostředků a podporovaného územíodpovídá připravovanému projektu SOS 112.</t>
    </r>
  </si>
  <si>
    <r>
      <t xml:space="preserve">VARIANTA </t>
    </r>
    <r>
      <rPr>
        <b/>
        <sz val="11"/>
        <color rgb="FFFF0000"/>
        <rFont val="Calibri"/>
        <family val="2"/>
        <charset val="238"/>
        <scheme val="minor"/>
      </rPr>
      <t>červenec 2025</t>
    </r>
    <r>
      <rPr>
        <b/>
        <sz val="11"/>
        <color theme="1"/>
        <rFont val="Calibri"/>
        <family val="2"/>
        <charset val="238"/>
        <scheme val="minor"/>
      </rPr>
      <t xml:space="preserve">
počet výjezdových základem a výjezdových skupin (50 : 50)</t>
    </r>
  </si>
  <si>
    <t>původní alokace KVK - celkem (Kč, EU podíl)</t>
  </si>
  <si>
    <t>nová alokace KVK - celkem (Kč, EU podíl)</t>
  </si>
  <si>
    <t>nová alokace - bez SOS112 (Kč, EU podíl)</t>
  </si>
  <si>
    <t>Karlovarský kraj**</t>
  </si>
  <si>
    <t>Z alokace KVK vyčleněno na projekt SOS112**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</si>
</sst>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č_-;\-* #,##0.00\ _K_č_-;_-* &quot;-&quot;??\ _K_č_-;_-@_-"/>
    <numFmt numFmtId="165" formatCode="_-* #,##0_-;\-* #,##0_-;_-* &quot;-&quot;??_-;_-@_-"/>
    <numFmt numFmtId="166" formatCode="#,##0.00\ &quot;Kč&quot;"/>
    <numFmt numFmtId="167" formatCode="#,##0\ &quot;Kč&quot;"/>
    <numFmt numFmtId="168" formatCode="#,##0_ ;\-#,##0\ "/>
  </numFmts>
  <fonts count="26" x14ac:knownFonts="1">
    <font>
      <sz val="10"/>
      <color theme="1"/>
      <name val="Arial"/>
      <family val="2"/>
      <charset val="238"/>
    </font>
    <font>
      <sz val="10"/>
      <color theme="1"/>
      <name val="Arial"/>
      <family val="2"/>
      <charset val="238"/>
    </font>
    <font>
      <sz val="11"/>
      <color theme="1"/>
      <name val="Calibri"/>
      <family val="2"/>
      <charset val="238"/>
      <scheme val="minor"/>
    </font>
    <font>
      <b/>
      <sz val="14"/>
      <color theme="1"/>
      <name val="Calibri"/>
      <family val="2"/>
      <charset val="238"/>
      <scheme val="minor"/>
    </font>
    <font>
      <sz val="9"/>
      <color theme="1"/>
      <name val="Arial"/>
      <family val="2"/>
      <charset val="238"/>
    </font>
    <font>
      <b/>
      <sz val="11"/>
      <color theme="1"/>
      <name val="Calibri"/>
      <family val="2"/>
      <charset val="238"/>
      <scheme val="minor"/>
    </font>
    <font>
      <sz val="10"/>
      <color theme="1"/>
      <name val="Arial Narrow"/>
      <family val="2"/>
      <charset val="238"/>
    </font>
    <font>
      <sz val="9"/>
      <name val="Calibri"/>
      <family val="2"/>
      <charset val="238"/>
    </font>
    <font>
      <b/>
      <sz val="11"/>
      <name val="Calibri"/>
      <family val="2"/>
      <charset val="238"/>
      <scheme val="minor"/>
    </font>
    <font>
      <sz val="11"/>
      <name val="Calibri"/>
      <family val="2"/>
      <charset val="238"/>
      <scheme val="minor"/>
    </font>
    <font>
      <sz val="11"/>
      <color rgb="FF000000"/>
      <name val="Calibri"/>
      <family val="2"/>
      <charset val="238"/>
      <scheme val="minor"/>
    </font>
    <font>
      <b/>
      <sz val="9"/>
      <color theme="1"/>
      <name val="Arial"/>
      <family val="2"/>
      <charset val="238"/>
    </font>
    <font>
      <sz val="9"/>
      <color theme="1"/>
      <name val="Calibri"/>
      <family val="2"/>
      <charset val="238"/>
      <scheme val="minor"/>
    </font>
    <font>
      <b/>
      <sz val="10"/>
      <color rgb="FF000000"/>
      <name val="Arial"/>
      <family val="2"/>
      <charset val="238"/>
    </font>
    <font>
      <sz val="10"/>
      <color rgb="FF000000"/>
      <name val="Arial"/>
      <family val="2"/>
      <charset val="238"/>
    </font>
    <font>
      <b/>
      <sz val="20"/>
      <color theme="1"/>
      <name val="Calibri"/>
      <family val="2"/>
      <charset val="238"/>
      <scheme val="minor"/>
    </font>
    <font>
      <b/>
      <sz val="22"/>
      <color theme="1"/>
      <name val="Calibri"/>
      <family val="2"/>
      <charset val="238"/>
      <scheme val="minor"/>
    </font>
    <font>
      <b/>
      <sz val="20"/>
      <name val="Calibri"/>
      <family val="2"/>
      <charset val="238"/>
    </font>
    <font>
      <b/>
      <sz val="10"/>
      <color theme="1"/>
      <name val="Arial"/>
      <family val="2"/>
      <charset val="238"/>
    </font>
    <font>
      <sz val="16"/>
      <color theme="1"/>
      <name val="Calibri"/>
      <family val="2"/>
      <charset val="238"/>
      <scheme val="minor"/>
    </font>
    <font>
      <sz val="10"/>
      <color rgb="FFFF0000"/>
      <name val="Arial"/>
      <family val="2"/>
      <charset val="238"/>
    </font>
    <font>
      <b/>
      <sz val="14"/>
      <color rgb="FFFF0000"/>
      <name val="Calibri"/>
      <family val="2"/>
      <charset val="238"/>
      <scheme val="minor"/>
    </font>
    <font>
      <b/>
      <sz val="10"/>
      <color rgb="FFFF0000"/>
      <name val="Arial"/>
      <family val="2"/>
      <charset val="238"/>
    </font>
    <font>
      <b/>
      <sz val="9"/>
      <color rgb="FFFF0000"/>
      <name val="Arial"/>
      <family val="2"/>
      <charset val="238"/>
    </font>
    <font>
      <b/>
      <sz val="11"/>
      <color rgb="FFFF0000"/>
      <name val="Calibri"/>
      <family val="2"/>
      <charset val="238"/>
      <scheme val="minor"/>
    </font>
    <font>
      <sz val="11"/>
      <color rgb="FFFF0000"/>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D9E1F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0" borderId="0"/>
    <xf numFmtId="9" fontId="2" fillId="0" borderId="0" applyFont="0" applyFill="0" applyBorder="0" applyAlignment="0" applyProtection="0"/>
    <xf numFmtId="0" fontId="6" fillId="0" borderId="0"/>
  </cellStyleXfs>
  <cellXfs count="221">
    <xf numFmtId="0" fontId="0" fillId="0" borderId="0" xfId="0"/>
    <xf numFmtId="0" fontId="3" fillId="0" borderId="0" xfId="2" applyFont="1"/>
    <xf numFmtId="0" fontId="2" fillId="0" borderId="0" xfId="2"/>
    <xf numFmtId="164" fontId="4" fillId="0" borderId="1" xfId="0" applyNumberFormat="1" applyFont="1" applyBorder="1" applyAlignment="1">
      <alignment horizontal="left"/>
    </xf>
    <xf numFmtId="165" fontId="2" fillId="0" borderId="1" xfId="2" applyNumberFormat="1" applyBorder="1"/>
    <xf numFmtId="0" fontId="2" fillId="0" borderId="1" xfId="2" applyBorder="1" applyAlignment="1">
      <alignment horizontal="center"/>
    </xf>
    <xf numFmtId="0" fontId="5" fillId="2" borderId="4" xfId="2" applyFont="1" applyFill="1" applyBorder="1" applyAlignment="1">
      <alignment horizontal="center" wrapText="1"/>
    </xf>
    <xf numFmtId="0" fontId="5" fillId="2" borderId="5" xfId="2" applyFont="1" applyFill="1" applyBorder="1" applyAlignment="1">
      <alignment horizontal="center" wrapText="1"/>
    </xf>
    <xf numFmtId="0" fontId="2" fillId="3" borderId="1" xfId="2" applyFill="1" applyBorder="1"/>
    <xf numFmtId="0" fontId="2" fillId="4" borderId="1" xfId="2" applyFill="1" applyBorder="1"/>
    <xf numFmtId="2" fontId="5" fillId="4" borderId="1" xfId="2" applyNumberFormat="1" applyFont="1" applyFill="1" applyBorder="1"/>
    <xf numFmtId="3" fontId="5" fillId="0" borderId="1" xfId="2" applyNumberFormat="1" applyFont="1" applyBorder="1" applyAlignment="1">
      <alignment horizontal="center" vertical="center"/>
    </xf>
    <xf numFmtId="2" fontId="5" fillId="0" borderId="1" xfId="3" applyNumberFormat="1" applyFont="1" applyBorder="1" applyAlignment="1">
      <alignment horizontal="center"/>
    </xf>
    <xf numFmtId="2" fontId="5" fillId="0" borderId="3" xfId="3" applyNumberFormat="1" applyFont="1" applyBorder="1" applyAlignment="1">
      <alignment horizontal="center"/>
    </xf>
    <xf numFmtId="165" fontId="4" fillId="0" borderId="5" xfId="1" applyNumberFormat="1" applyFont="1" applyBorder="1"/>
    <xf numFmtId="0" fontId="2" fillId="0" borderId="6" xfId="2" applyBorder="1" applyAlignment="1">
      <alignment horizontal="center"/>
    </xf>
    <xf numFmtId="0" fontId="2" fillId="2" borderId="1" xfId="2" applyFill="1" applyBorder="1" applyAlignment="1">
      <alignment wrapText="1"/>
    </xf>
    <xf numFmtId="0" fontId="2" fillId="3" borderId="1" xfId="2" applyFill="1" applyBorder="1" applyAlignment="1">
      <alignment horizontal="center"/>
    </xf>
    <xf numFmtId="2" fontId="2" fillId="3" borderId="1" xfId="2" applyNumberFormat="1" applyFill="1" applyBorder="1" applyAlignment="1">
      <alignment horizontal="center"/>
    </xf>
    <xf numFmtId="43" fontId="2" fillId="3" borderId="1" xfId="1" applyFont="1" applyFill="1" applyBorder="1" applyAlignment="1">
      <alignment horizontal="center"/>
    </xf>
    <xf numFmtId="2" fontId="2" fillId="0" borderId="1" xfId="2" applyNumberFormat="1" applyBorder="1" applyAlignment="1">
      <alignment horizontal="center"/>
    </xf>
    <xf numFmtId="43" fontId="2" fillId="0" borderId="1" xfId="1" applyFont="1" applyBorder="1" applyAlignment="1">
      <alignment horizontal="center"/>
    </xf>
    <xf numFmtId="0" fontId="5" fillId="4" borderId="1" xfId="2" applyFont="1" applyFill="1" applyBorder="1"/>
    <xf numFmtId="0" fontId="5" fillId="0" borderId="1" xfId="2" applyFont="1" applyBorder="1" applyAlignment="1">
      <alignment horizontal="center"/>
    </xf>
    <xf numFmtId="0" fontId="6" fillId="0" borderId="0" xfId="4"/>
    <xf numFmtId="164" fontId="2" fillId="0" borderId="1" xfId="0" applyNumberFormat="1" applyFont="1" applyBorder="1" applyAlignment="1">
      <alignment horizontal="left"/>
    </xf>
    <xf numFmtId="49" fontId="7" fillId="0" borderId="0" xfId="0" applyNumberFormat="1" applyFont="1"/>
    <xf numFmtId="165" fontId="2" fillId="3" borderId="1" xfId="1" applyNumberFormat="1" applyFont="1" applyFill="1" applyBorder="1" applyAlignment="1">
      <alignment horizontal="center"/>
    </xf>
    <xf numFmtId="165" fontId="2" fillId="0" borderId="1" xfId="1" applyNumberFormat="1" applyFont="1" applyBorder="1" applyAlignment="1">
      <alignment horizontal="center"/>
    </xf>
    <xf numFmtId="0" fontId="2" fillId="5" borderId="1" xfId="2" applyFill="1" applyBorder="1"/>
    <xf numFmtId="165" fontId="2" fillId="5" borderId="1" xfId="1" applyNumberFormat="1" applyFont="1" applyFill="1" applyBorder="1" applyAlignment="1">
      <alignment horizontal="center"/>
    </xf>
    <xf numFmtId="2" fontId="2" fillId="5" borderId="1" xfId="2" applyNumberFormat="1" applyFill="1" applyBorder="1" applyAlignment="1">
      <alignment horizontal="center"/>
    </xf>
    <xf numFmtId="43" fontId="2" fillId="5" borderId="1" xfId="1" applyFont="1" applyFill="1" applyBorder="1" applyAlignment="1">
      <alignment horizontal="center"/>
    </xf>
    <xf numFmtId="165" fontId="5" fillId="0" borderId="1" xfId="1" applyNumberFormat="1" applyFont="1" applyBorder="1" applyAlignment="1">
      <alignment horizontal="center"/>
    </xf>
    <xf numFmtId="2" fontId="5" fillId="0" borderId="1" xfId="2" applyNumberFormat="1" applyFont="1" applyBorder="1" applyAlignment="1">
      <alignment horizontal="center"/>
    </xf>
    <xf numFmtId="0" fontId="5" fillId="0" borderId="3" xfId="2" applyFont="1" applyBorder="1" applyAlignment="1">
      <alignment horizontal="center"/>
    </xf>
    <xf numFmtId="0" fontId="8" fillId="2" borderId="1" xfId="2" applyFont="1" applyFill="1" applyBorder="1" applyAlignment="1">
      <alignment horizontal="center" wrapText="1"/>
    </xf>
    <xf numFmtId="165" fontId="5" fillId="0" borderId="1" xfId="2" applyNumberFormat="1" applyFont="1" applyBorder="1"/>
    <xf numFmtId="0" fontId="5" fillId="0" borderId="0" xfId="2" applyFont="1" applyAlignment="1">
      <alignment horizontal="center"/>
    </xf>
    <xf numFmtId="2" fontId="2" fillId="3" borderId="5" xfId="2" applyNumberFormat="1" applyFill="1" applyBorder="1" applyAlignment="1">
      <alignment horizontal="center"/>
    </xf>
    <xf numFmtId="2" fontId="2" fillId="0" borderId="5" xfId="2" applyNumberFormat="1" applyBorder="1" applyAlignment="1">
      <alignment horizontal="center"/>
    </xf>
    <xf numFmtId="2" fontId="2" fillId="5" borderId="5" xfId="2" applyNumberFormat="1" applyFill="1" applyBorder="1" applyAlignment="1">
      <alignment horizontal="center"/>
    </xf>
    <xf numFmtId="2" fontId="2" fillId="3" borderId="4" xfId="2" applyNumberFormat="1" applyFill="1" applyBorder="1" applyAlignment="1">
      <alignment horizontal="center"/>
    </xf>
    <xf numFmtId="2" fontId="2" fillId="0" borderId="4" xfId="2" applyNumberFormat="1" applyBorder="1" applyAlignment="1">
      <alignment horizontal="center"/>
    </xf>
    <xf numFmtId="2" fontId="2" fillId="5" borderId="4" xfId="2" applyNumberFormat="1" applyFill="1" applyBorder="1" applyAlignment="1">
      <alignment horizontal="center"/>
    </xf>
    <xf numFmtId="164" fontId="5" fillId="0" borderId="1" xfId="0" applyNumberFormat="1" applyFont="1" applyBorder="1" applyAlignment="1">
      <alignment horizontal="left"/>
    </xf>
    <xf numFmtId="165" fontId="5" fillId="0" borderId="1" xfId="1" applyNumberFormat="1" applyFont="1" applyBorder="1"/>
    <xf numFmtId="0" fontId="2" fillId="0" borderId="0" xfId="0" applyFont="1"/>
    <xf numFmtId="3" fontId="10" fillId="3" borderId="1" xfId="2" applyNumberFormat="1" applyFont="1" applyFill="1" applyBorder="1" applyAlignment="1">
      <alignment horizontal="center" vertical="center"/>
    </xf>
    <xf numFmtId="2" fontId="2" fillId="3" borderId="5" xfId="3" applyNumberFormat="1" applyFont="1" applyFill="1" applyBorder="1" applyAlignment="1">
      <alignment horizontal="center"/>
    </xf>
    <xf numFmtId="2" fontId="2" fillId="3" borderId="4" xfId="3" applyNumberFormat="1" applyFont="1" applyFill="1" applyBorder="1" applyAlignment="1">
      <alignment horizontal="center"/>
    </xf>
    <xf numFmtId="2" fontId="2" fillId="3" borderId="1" xfId="3" applyNumberFormat="1" applyFont="1" applyFill="1" applyBorder="1" applyAlignment="1">
      <alignment horizontal="center"/>
    </xf>
    <xf numFmtId="1" fontId="2" fillId="3" borderId="1" xfId="3" applyNumberFormat="1" applyFont="1" applyFill="1" applyBorder="1" applyAlignment="1">
      <alignment horizontal="center"/>
    </xf>
    <xf numFmtId="3" fontId="10" fillId="0" borderId="1" xfId="2" applyNumberFormat="1" applyFont="1" applyBorder="1" applyAlignment="1">
      <alignment horizontal="center" vertical="center"/>
    </xf>
    <xf numFmtId="2" fontId="2" fillId="0" borderId="5" xfId="3" applyNumberFormat="1" applyFont="1" applyBorder="1" applyAlignment="1">
      <alignment horizontal="center"/>
    </xf>
    <xf numFmtId="2" fontId="2" fillId="0" borderId="4" xfId="3" applyNumberFormat="1" applyFont="1" applyBorder="1" applyAlignment="1">
      <alignment horizontal="center"/>
    </xf>
    <xf numFmtId="2" fontId="2" fillId="0" borderId="1" xfId="3" applyNumberFormat="1" applyFont="1" applyBorder="1" applyAlignment="1">
      <alignment horizontal="center"/>
    </xf>
    <xf numFmtId="3" fontId="10" fillId="0" borderId="1" xfId="2" applyNumberFormat="1" applyFont="1" applyBorder="1" applyAlignment="1">
      <alignment horizontal="center"/>
    </xf>
    <xf numFmtId="165" fontId="5" fillId="0" borderId="0" xfId="1" applyNumberFormat="1" applyFont="1" applyBorder="1"/>
    <xf numFmtId="165" fontId="4" fillId="0" borderId="0" xfId="1" applyNumberFormat="1" applyFont="1" applyBorder="1"/>
    <xf numFmtId="0" fontId="2" fillId="0" borderId="0" xfId="2" applyAlignment="1">
      <alignment horizontal="center"/>
    </xf>
    <xf numFmtId="43" fontId="6" fillId="0" borderId="0" xfId="1" applyFont="1"/>
    <xf numFmtId="2" fontId="5" fillId="0" borderId="3" xfId="2" applyNumberFormat="1" applyFont="1" applyBorder="1" applyAlignment="1">
      <alignment horizontal="center"/>
    </xf>
    <xf numFmtId="43" fontId="2" fillId="3" borderId="5" xfId="1" applyFont="1" applyFill="1" applyBorder="1" applyAlignment="1">
      <alignment horizontal="center"/>
    </xf>
    <xf numFmtId="43" fontId="2" fillId="0" borderId="5" xfId="1" applyFont="1" applyBorder="1" applyAlignment="1">
      <alignment horizontal="center"/>
    </xf>
    <xf numFmtId="43" fontId="2" fillId="5" borderId="5" xfId="1" applyFont="1" applyFill="1" applyBorder="1" applyAlignment="1">
      <alignment horizontal="center"/>
    </xf>
    <xf numFmtId="0" fontId="5" fillId="0" borderId="0" xfId="2" applyFont="1"/>
    <xf numFmtId="164" fontId="11" fillId="0" borderId="1" xfId="0" applyNumberFormat="1" applyFont="1" applyBorder="1" applyAlignment="1">
      <alignment horizontal="left"/>
    </xf>
    <xf numFmtId="165" fontId="11" fillId="0" borderId="1" xfId="1" applyNumberFormat="1" applyFont="1" applyBorder="1"/>
    <xf numFmtId="43" fontId="9" fillId="3" borderId="1" xfId="1" applyFont="1" applyFill="1" applyBorder="1" applyAlignment="1">
      <alignment horizontal="center"/>
    </xf>
    <xf numFmtId="43" fontId="9" fillId="0" borderId="1" xfId="1" applyFont="1" applyBorder="1" applyAlignment="1">
      <alignment horizontal="center"/>
    </xf>
    <xf numFmtId="49" fontId="12" fillId="0" borderId="0" xfId="2" applyNumberFormat="1" applyFont="1"/>
    <xf numFmtId="165" fontId="2" fillId="0" borderId="0" xfId="2" applyNumberFormat="1"/>
    <xf numFmtId="0" fontId="5" fillId="2" borderId="1" xfId="2" applyFont="1" applyFill="1" applyBorder="1" applyAlignment="1">
      <alignment horizontal="center" wrapText="1"/>
    </xf>
    <xf numFmtId="0" fontId="0" fillId="0" borderId="1" xfId="0" applyBorder="1"/>
    <xf numFmtId="3" fontId="0" fillId="0" borderId="1" xfId="0" applyNumberFormat="1" applyBorder="1"/>
    <xf numFmtId="43" fontId="2" fillId="0" borderId="0" xfId="2" applyNumberFormat="1"/>
    <xf numFmtId="43" fontId="6" fillId="0" borderId="0" xfId="4" applyNumberFormat="1"/>
    <xf numFmtId="165" fontId="6" fillId="0" borderId="0" xfId="4" applyNumberFormat="1"/>
    <xf numFmtId="165" fontId="5" fillId="0" borderId="0" xfId="2" applyNumberFormat="1" applyFont="1"/>
    <xf numFmtId="165" fontId="11" fillId="0" borderId="5" xfId="1" applyNumberFormat="1" applyFont="1" applyBorder="1"/>
    <xf numFmtId="165" fontId="11" fillId="0" borderId="6" xfId="1" applyNumberFormat="1" applyFont="1" applyBorder="1"/>
    <xf numFmtId="164" fontId="2" fillId="0" borderId="2" xfId="0" applyNumberFormat="1" applyFont="1" applyBorder="1" applyAlignment="1">
      <alignment horizontal="left"/>
    </xf>
    <xf numFmtId="165" fontId="2" fillId="0" borderId="2" xfId="2" applyNumberFormat="1" applyBorder="1"/>
    <xf numFmtId="165" fontId="4" fillId="0" borderId="9" xfId="1" applyNumberFormat="1" applyFont="1" applyBorder="1"/>
    <xf numFmtId="165" fontId="18" fillId="0" borderId="0" xfId="1" applyNumberFormat="1" applyFont="1" applyBorder="1"/>
    <xf numFmtId="0" fontId="13" fillId="6" borderId="1" xfId="0" applyFont="1" applyFill="1" applyBorder="1" applyAlignment="1">
      <alignment vertical="center"/>
    </xf>
    <xf numFmtId="0" fontId="14" fillId="0" borderId="1" xfId="0" applyFont="1" applyBorder="1" applyAlignment="1">
      <alignment vertical="center"/>
    </xf>
    <xf numFmtId="0" fontId="13" fillId="6" borderId="1" xfId="0" applyFont="1" applyFill="1" applyBorder="1" applyAlignment="1">
      <alignment horizontal="right" vertical="center"/>
    </xf>
    <xf numFmtId="165" fontId="13" fillId="6" borderId="1" xfId="1" applyNumberFormat="1" applyFont="1" applyFill="1" applyBorder="1" applyAlignment="1">
      <alignment vertical="center"/>
    </xf>
    <xf numFmtId="165" fontId="0" fillId="0" borderId="1" xfId="1" applyNumberFormat="1" applyFont="1" applyBorder="1"/>
    <xf numFmtId="0" fontId="14" fillId="3" borderId="1" xfId="0" applyFont="1" applyFill="1" applyBorder="1" applyAlignment="1">
      <alignment vertical="center"/>
    </xf>
    <xf numFmtId="165" fontId="0" fillId="3" borderId="1" xfId="1" applyNumberFormat="1" applyFont="1" applyFill="1" applyBorder="1"/>
    <xf numFmtId="0" fontId="13" fillId="6" borderId="5" xfId="0" applyFont="1" applyFill="1" applyBorder="1" applyAlignment="1">
      <alignment horizontal="right" vertical="center"/>
    </xf>
    <xf numFmtId="165" fontId="14" fillId="3" borderId="5" xfId="1" applyNumberFormat="1" applyFont="1" applyFill="1" applyBorder="1" applyAlignment="1">
      <alignment horizontal="right" vertical="center"/>
    </xf>
    <xf numFmtId="165" fontId="14" fillId="0" borderId="5" xfId="1" applyNumberFormat="1" applyFont="1" applyBorder="1" applyAlignment="1">
      <alignment horizontal="right" vertical="center"/>
    </xf>
    <xf numFmtId="165" fontId="13" fillId="6" borderId="5" xfId="1" applyNumberFormat="1" applyFont="1" applyFill="1" applyBorder="1" applyAlignment="1">
      <alignment vertical="center"/>
    </xf>
    <xf numFmtId="43" fontId="9" fillId="3" borderId="5" xfId="1" applyFont="1" applyFill="1" applyBorder="1" applyAlignment="1">
      <alignment horizontal="center"/>
    </xf>
    <xf numFmtId="0" fontId="8" fillId="2" borderId="5" xfId="2" applyFont="1" applyFill="1" applyBorder="1" applyAlignment="1">
      <alignment horizontal="center" wrapText="1"/>
    </xf>
    <xf numFmtId="43" fontId="9" fillId="0" borderId="5" xfId="1" applyFont="1" applyBorder="1" applyAlignment="1">
      <alignment horizontal="center"/>
    </xf>
    <xf numFmtId="0" fontId="19" fillId="0" borderId="0" xfId="0" applyFont="1" applyAlignment="1">
      <alignment horizontal="center"/>
    </xf>
    <xf numFmtId="0" fontId="0" fillId="0" borderId="5" xfId="0" applyBorder="1" applyAlignment="1">
      <alignment vertical="center" wrapText="1"/>
    </xf>
    <xf numFmtId="0" fontId="0" fillId="0" borderId="1" xfId="0" applyBorder="1" applyAlignment="1">
      <alignment vertical="center" wrapText="1"/>
    </xf>
    <xf numFmtId="0" fontId="0" fillId="0" borderId="1" xfId="0" applyBorder="1" applyAlignment="1">
      <alignment horizontal="left" vertical="center" wrapText="1"/>
    </xf>
    <xf numFmtId="3" fontId="0" fillId="0" borderId="5" xfId="0" applyNumberFormat="1" applyBorder="1" applyAlignment="1">
      <alignment horizontal="right" vertical="center" wrapText="1"/>
    </xf>
    <xf numFmtId="0" fontId="0" fillId="0" borderId="1" xfId="0" applyBorder="1" applyAlignment="1">
      <alignment horizontal="right" vertical="center" wrapText="1"/>
    </xf>
    <xf numFmtId="0" fontId="0" fillId="0" borderId="2" xfId="0" applyBorder="1" applyAlignment="1">
      <alignment horizontal="left" vertical="center" wrapText="1"/>
    </xf>
    <xf numFmtId="0" fontId="0" fillId="0" borderId="16" xfId="0" applyBorder="1" applyAlignment="1">
      <alignment horizontal="left" vertical="center" wrapText="1"/>
    </xf>
    <xf numFmtId="166" fontId="0" fillId="0" borderId="1" xfId="0" applyNumberFormat="1" applyBorder="1" applyAlignment="1">
      <alignment horizontal="right" vertical="center" wrapText="1"/>
    </xf>
    <xf numFmtId="0" fontId="0" fillId="7" borderId="1" xfId="0" applyFill="1" applyBorder="1" applyAlignment="1">
      <alignment horizontal="left" vertical="center" wrapText="1"/>
    </xf>
    <xf numFmtId="0" fontId="0" fillId="7" borderId="17" xfId="0" applyFill="1" applyBorder="1" applyAlignment="1">
      <alignment horizontal="left" vertical="center" wrapText="1"/>
    </xf>
    <xf numFmtId="0" fontId="0" fillId="0" borderId="17" xfId="0" applyBorder="1" applyAlignment="1">
      <alignment horizontal="left" vertical="center" wrapText="1"/>
    </xf>
    <xf numFmtId="3" fontId="0" fillId="0" borderId="18" xfId="0" applyNumberFormat="1" applyBorder="1" applyAlignment="1">
      <alignment horizontal="right" vertical="center" wrapText="1"/>
    </xf>
    <xf numFmtId="0" fontId="0" fillId="7" borderId="19" xfId="0" applyFill="1" applyBorder="1" applyAlignment="1">
      <alignment horizontal="left" vertical="center" wrapText="1"/>
    </xf>
    <xf numFmtId="0" fontId="0" fillId="0" borderId="19" xfId="0" applyBorder="1" applyAlignment="1">
      <alignment horizontal="left" vertical="center" wrapText="1"/>
    </xf>
    <xf numFmtId="3" fontId="0" fillId="0" borderId="20" xfId="0" applyNumberFormat="1" applyBorder="1" applyAlignment="1">
      <alignment horizontal="right" vertical="center" wrapText="1"/>
    </xf>
    <xf numFmtId="0" fontId="0" fillId="8" borderId="19" xfId="0" applyFill="1" applyBorder="1" applyAlignment="1">
      <alignment horizontal="left" vertical="center" wrapText="1"/>
    </xf>
    <xf numFmtId="0" fontId="0" fillId="8" borderId="21" xfId="0" applyFill="1" applyBorder="1" applyAlignment="1">
      <alignment horizontal="left" vertical="center" wrapText="1"/>
    </xf>
    <xf numFmtId="0" fontId="0" fillId="0" borderId="21" xfId="0" applyBorder="1" applyAlignment="1">
      <alignment horizontal="left" vertical="center" wrapText="1"/>
    </xf>
    <xf numFmtId="3" fontId="0" fillId="0" borderId="22" xfId="0" applyNumberFormat="1" applyBorder="1" applyAlignment="1">
      <alignment horizontal="right" vertical="center" wrapText="1"/>
    </xf>
    <xf numFmtId="0" fontId="0" fillId="2" borderId="1" xfId="0" applyFill="1" applyBorder="1" applyAlignment="1">
      <alignment horizontal="left" vertical="center" wrapText="1"/>
    </xf>
    <xf numFmtId="0" fontId="0" fillId="2" borderId="1" xfId="0" applyFill="1" applyBorder="1" applyAlignment="1">
      <alignment wrapText="1"/>
    </xf>
    <xf numFmtId="167" fontId="0" fillId="0" borderId="1" xfId="0" applyNumberFormat="1" applyBorder="1"/>
    <xf numFmtId="0" fontId="0" fillId="0" borderId="1" xfId="0" applyBorder="1" applyAlignment="1">
      <alignment wrapText="1"/>
    </xf>
    <xf numFmtId="0" fontId="18" fillId="7" borderId="1" xfId="0" applyFont="1" applyFill="1" applyBorder="1" applyAlignment="1">
      <alignment vertical="center" wrapText="1"/>
    </xf>
    <xf numFmtId="0" fontId="18" fillId="8" borderId="19" xfId="0" applyFont="1" applyFill="1" applyBorder="1" applyAlignment="1">
      <alignment horizontal="left" vertical="center" wrapText="1"/>
    </xf>
    <xf numFmtId="166" fontId="18" fillId="0" borderId="1" xfId="0" applyNumberFormat="1" applyFont="1" applyBorder="1" applyAlignment="1">
      <alignment horizontal="right" vertical="center" wrapText="1"/>
    </xf>
    <xf numFmtId="167" fontId="0" fillId="0" borderId="0" xfId="0" applyNumberFormat="1"/>
    <xf numFmtId="168" fontId="14" fillId="3" borderId="5" xfId="1" applyNumberFormat="1" applyFont="1" applyFill="1" applyBorder="1" applyAlignment="1">
      <alignment horizontal="right" vertical="center"/>
    </xf>
    <xf numFmtId="168" fontId="14" fillId="3" borderId="1" xfId="1" applyNumberFormat="1" applyFont="1" applyFill="1" applyBorder="1" applyAlignment="1">
      <alignment horizontal="right" vertical="center"/>
    </xf>
    <xf numFmtId="0" fontId="5" fillId="2" borderId="1" xfId="2" applyFont="1" applyFill="1" applyBorder="1" applyAlignment="1">
      <alignment horizontal="center" wrapText="1"/>
    </xf>
    <xf numFmtId="164" fontId="2" fillId="0" borderId="0" xfId="2" applyNumberFormat="1"/>
    <xf numFmtId="2" fontId="2" fillId="0" borderId="1" xfId="2" applyNumberFormat="1" applyFill="1" applyBorder="1" applyAlignment="1">
      <alignment horizontal="center"/>
    </xf>
    <xf numFmtId="0" fontId="2" fillId="0" borderId="1" xfId="2" applyBorder="1"/>
    <xf numFmtId="4" fontId="2" fillId="0" borderId="1" xfId="2" applyNumberFormat="1" applyBorder="1"/>
    <xf numFmtId="0" fontId="5" fillId="9" borderId="1" xfId="2" applyFont="1" applyFill="1" applyBorder="1"/>
    <xf numFmtId="0" fontId="5" fillId="9" borderId="1" xfId="2" applyFont="1" applyFill="1" applyBorder="1" applyAlignment="1">
      <alignment horizontal="center"/>
    </xf>
    <xf numFmtId="0" fontId="5" fillId="2" borderId="1" xfId="2" applyFont="1" applyFill="1" applyBorder="1" applyAlignment="1">
      <alignment horizontal="center" wrapText="1"/>
    </xf>
    <xf numFmtId="0" fontId="0" fillId="0" borderId="23" xfId="0" applyBorder="1" applyAlignment="1">
      <alignment horizontal="left" vertical="center" wrapText="1"/>
    </xf>
    <xf numFmtId="0" fontId="2" fillId="10" borderId="1" xfId="2" applyFill="1" applyBorder="1"/>
    <xf numFmtId="0" fontId="2" fillId="10" borderId="1" xfId="2" applyFill="1" applyBorder="1" applyAlignment="1">
      <alignment horizontal="center"/>
    </xf>
    <xf numFmtId="2" fontId="2" fillId="10" borderId="1" xfId="2" applyNumberFormat="1" applyFill="1" applyBorder="1" applyAlignment="1">
      <alignment horizontal="center"/>
    </xf>
    <xf numFmtId="4" fontId="2" fillId="10" borderId="1" xfId="2" applyNumberFormat="1" applyFill="1" applyBorder="1"/>
    <xf numFmtId="0" fontId="2" fillId="11" borderId="1" xfId="2" applyFill="1" applyBorder="1" applyAlignment="1">
      <alignment horizontal="center" vertical="center"/>
    </xf>
    <xf numFmtId="0" fontId="2" fillId="11" borderId="1" xfId="2" applyFill="1" applyBorder="1" applyAlignment="1">
      <alignment horizontal="left" vertical="center" wrapText="1"/>
    </xf>
    <xf numFmtId="4" fontId="2" fillId="11" borderId="1" xfId="2" applyNumberFormat="1" applyFill="1" applyBorder="1" applyAlignment="1">
      <alignment horizontal="right" vertical="center"/>
    </xf>
    <xf numFmtId="0" fontId="16" fillId="0" borderId="0" xfId="0" applyFont="1" applyAlignment="1">
      <alignment horizontal="center" vertical="center"/>
    </xf>
    <xf numFmtId="0" fontId="2" fillId="2" borderId="2" xfId="2" applyFill="1" applyBorder="1" applyAlignment="1">
      <alignment horizontal="center" wrapText="1"/>
    </xf>
    <xf numFmtId="0" fontId="2" fillId="2" borderId="3" xfId="2" applyFill="1" applyBorder="1" applyAlignment="1">
      <alignment horizontal="center" wrapText="1"/>
    </xf>
    <xf numFmtId="0" fontId="5" fillId="2" borderId="1" xfId="2" applyFont="1" applyFill="1" applyBorder="1" applyAlignment="1">
      <alignment horizontal="center" wrapText="1"/>
    </xf>
    <xf numFmtId="0" fontId="5" fillId="2" borderId="2" xfId="2" applyFont="1" applyFill="1" applyBorder="1" applyAlignment="1">
      <alignment horizont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15" fillId="0" borderId="0" xfId="2" applyFont="1" applyAlignment="1">
      <alignment horizontal="center" vertical="center"/>
    </xf>
    <xf numFmtId="0" fontId="5" fillId="2" borderId="7" xfId="2" applyFont="1" applyFill="1" applyBorder="1" applyAlignment="1">
      <alignment horizontal="center" vertical="center" wrapText="1"/>
    </xf>
    <xf numFmtId="0" fontId="5" fillId="2" borderId="8" xfId="2" applyFont="1" applyFill="1" applyBorder="1" applyAlignment="1">
      <alignment horizontal="center" vertical="center" wrapText="1"/>
    </xf>
    <xf numFmtId="49" fontId="17" fillId="0" borderId="0" xfId="0" applyNumberFormat="1" applyFont="1" applyAlignment="1">
      <alignment horizontal="center" vertical="center"/>
    </xf>
    <xf numFmtId="0" fontId="0" fillId="0" borderId="0" xfId="0" applyAlignment="1">
      <alignment wrapText="1"/>
    </xf>
    <xf numFmtId="0" fontId="0" fillId="0" borderId="0" xfId="0" applyAlignment="1"/>
    <xf numFmtId="167" fontId="0" fillId="0" borderId="5" xfId="0" applyNumberFormat="1" applyBorder="1" applyAlignment="1">
      <alignment horizontal="right"/>
    </xf>
    <xf numFmtId="167" fontId="0" fillId="0" borderId="4" xfId="0" applyNumberFormat="1" applyBorder="1" applyAlignment="1">
      <alignment horizontal="right"/>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horizontal="center" vertical="center" wrapText="1"/>
    </xf>
    <xf numFmtId="0" fontId="0" fillId="0" borderId="15"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0" fontId="22" fillId="2" borderId="24" xfId="0" applyFont="1" applyFill="1" applyBorder="1" applyAlignment="1">
      <alignment vertical="center" wrapText="1"/>
    </xf>
    <xf numFmtId="0" fontId="22" fillId="2" borderId="25" xfId="0" applyFont="1" applyFill="1" applyBorder="1" applyAlignment="1">
      <alignment vertical="center"/>
    </xf>
    <xf numFmtId="0" fontId="22" fillId="2" borderId="26" xfId="0" applyFont="1" applyFill="1" applyBorder="1" applyAlignment="1">
      <alignment vertical="center"/>
    </xf>
    <xf numFmtId="0" fontId="22" fillId="2" borderId="27" xfId="0" applyFont="1" applyFill="1" applyBorder="1" applyAlignment="1">
      <alignment vertical="center"/>
    </xf>
    <xf numFmtId="165" fontId="23" fillId="12" borderId="1" xfId="1" applyNumberFormat="1" applyFont="1" applyFill="1" applyBorder="1"/>
    <xf numFmtId="165" fontId="23" fillId="12" borderId="5" xfId="1" applyNumberFormat="1" applyFont="1" applyFill="1" applyBorder="1"/>
    <xf numFmtId="0" fontId="22" fillId="2" borderId="28" xfId="0" applyFont="1" applyFill="1" applyBorder="1" applyAlignment="1">
      <alignment vertical="center"/>
    </xf>
    <xf numFmtId="0" fontId="22" fillId="2" borderId="29" xfId="0" applyFont="1" applyFill="1" applyBorder="1" applyAlignment="1">
      <alignment vertical="center"/>
    </xf>
    <xf numFmtId="0" fontId="0" fillId="0" borderId="30" xfId="0" applyBorder="1"/>
    <xf numFmtId="43" fontId="0" fillId="0" borderId="31" xfId="1" applyFont="1" applyBorder="1"/>
    <xf numFmtId="2" fontId="25" fillId="3" borderId="1" xfId="2" applyNumberFormat="1" applyFont="1" applyFill="1" applyBorder="1" applyAlignment="1">
      <alignment horizontal="center"/>
    </xf>
    <xf numFmtId="2" fontId="25" fillId="3" borderId="4" xfId="2" applyNumberFormat="1" applyFont="1" applyFill="1" applyBorder="1" applyAlignment="1">
      <alignment horizontal="center"/>
    </xf>
    <xf numFmtId="0" fontId="0" fillId="0" borderId="32" xfId="0" applyBorder="1"/>
    <xf numFmtId="43" fontId="0" fillId="0" borderId="33" xfId="1" applyFont="1" applyBorder="1"/>
    <xf numFmtId="165" fontId="0" fillId="0" borderId="0" xfId="0" applyNumberFormat="1" applyAlignment="1">
      <alignment horizontal="center"/>
    </xf>
    <xf numFmtId="165" fontId="23" fillId="0" borderId="0" xfId="1" applyNumberFormat="1" applyFont="1" applyFill="1" applyBorder="1" applyAlignment="1">
      <alignment horizontal="center"/>
    </xf>
    <xf numFmtId="165" fontId="0" fillId="0" borderId="0" xfId="0" applyNumberFormat="1"/>
    <xf numFmtId="0" fontId="0" fillId="0" borderId="0" xfId="0" applyAlignment="1">
      <alignment horizontal="center"/>
    </xf>
    <xf numFmtId="2" fontId="0" fillId="0" borderId="0" xfId="0" applyNumberFormat="1" applyAlignment="1">
      <alignment horizontal="center"/>
    </xf>
    <xf numFmtId="2" fontId="2" fillId="0" borderId="0" xfId="2" applyNumberFormat="1" applyAlignment="1">
      <alignment horizontal="center"/>
    </xf>
    <xf numFmtId="43" fontId="9" fillId="0" borderId="0" xfId="1" applyFont="1" applyFill="1" applyBorder="1" applyAlignment="1">
      <alignment horizontal="center"/>
    </xf>
    <xf numFmtId="2" fontId="25" fillId="0" borderId="1" xfId="2" applyNumberFormat="1" applyFont="1" applyBorder="1" applyAlignment="1">
      <alignment horizontal="center"/>
    </xf>
    <xf numFmtId="43" fontId="25" fillId="0" borderId="5" xfId="1" applyFont="1" applyBorder="1" applyAlignment="1">
      <alignment horizontal="center"/>
    </xf>
    <xf numFmtId="43" fontId="25" fillId="0" borderId="1" xfId="1" applyFont="1" applyBorder="1" applyAlignment="1">
      <alignment horizontal="center"/>
    </xf>
    <xf numFmtId="2" fontId="25" fillId="0" borderId="4" xfId="2" applyNumberFormat="1" applyFont="1" applyBorder="1" applyAlignment="1">
      <alignment horizontal="center"/>
    </xf>
    <xf numFmtId="43" fontId="2" fillId="0" borderId="0" xfId="1" applyFont="1" applyFill="1" applyBorder="1" applyAlignment="1">
      <alignment horizontal="center"/>
    </xf>
    <xf numFmtId="165" fontId="23" fillId="0" borderId="1" xfId="1" applyNumberFormat="1" applyFont="1" applyBorder="1"/>
    <xf numFmtId="2" fontId="25" fillId="0" borderId="1" xfId="2" applyNumberFormat="1" applyFont="1" applyBorder="1" applyAlignment="1">
      <alignment horizontal="center" vertical="center"/>
    </xf>
    <xf numFmtId="0" fontId="2" fillId="11" borderId="1" xfId="2" applyFill="1" applyBorder="1"/>
    <xf numFmtId="0" fontId="2" fillId="11" borderId="1" xfId="2" applyFill="1" applyBorder="1" applyAlignment="1">
      <alignment horizontal="center"/>
    </xf>
    <xf numFmtId="2" fontId="25" fillId="11" borderId="1" xfId="2" applyNumberFormat="1" applyFont="1" applyFill="1" applyBorder="1" applyAlignment="1">
      <alignment horizontal="center" vertical="center"/>
    </xf>
    <xf numFmtId="4" fontId="25" fillId="11" borderId="1" xfId="2" applyNumberFormat="1" applyFont="1" applyFill="1" applyBorder="1"/>
    <xf numFmtId="0" fontId="2" fillId="12" borderId="1" xfId="2" applyFill="1" applyBorder="1"/>
    <xf numFmtId="0" fontId="2" fillId="12" borderId="1" xfId="2" applyFill="1" applyBorder="1" applyAlignment="1">
      <alignment horizontal="center"/>
    </xf>
    <xf numFmtId="4" fontId="2" fillId="12" borderId="1" xfId="2" applyNumberFormat="1" applyFill="1" applyBorder="1"/>
    <xf numFmtId="0" fontId="2" fillId="12" borderId="1" xfId="2" applyFill="1" applyBorder="1" applyAlignment="1">
      <alignment horizontal="left" vertical="center" wrapText="1"/>
    </xf>
    <xf numFmtId="0" fontId="2" fillId="12" borderId="1" xfId="2" applyFill="1" applyBorder="1" applyAlignment="1">
      <alignment horizontal="center" vertical="center"/>
    </xf>
    <xf numFmtId="4" fontId="2" fillId="12" borderId="1" xfId="2" applyNumberFormat="1" applyFill="1" applyBorder="1" applyAlignment="1">
      <alignment horizontal="right" vertical="center"/>
    </xf>
    <xf numFmtId="0" fontId="25" fillId="11" borderId="1" xfId="2" applyFont="1" applyFill="1" applyBorder="1" applyAlignment="1">
      <alignment horizontal="left" vertical="center" wrapText="1"/>
    </xf>
    <xf numFmtId="0" fontId="25" fillId="11" borderId="1" xfId="2" applyFont="1" applyFill="1" applyBorder="1" applyAlignment="1">
      <alignment horizontal="center" vertical="center"/>
    </xf>
    <xf numFmtId="4" fontId="25" fillId="11" borderId="1" xfId="2" applyNumberFormat="1" applyFont="1" applyFill="1" applyBorder="1" applyAlignment="1">
      <alignment horizontal="right" vertical="center"/>
    </xf>
    <xf numFmtId="4" fontId="25" fillId="0" borderId="1" xfId="2" applyNumberFormat="1" applyFont="1" applyBorder="1"/>
  </cellXfs>
  <cellStyles count="5">
    <cellStyle name="Čárka" xfId="1" builtinId="3"/>
    <cellStyle name="Normální" xfId="0" builtinId="0"/>
    <cellStyle name="Normální 2" xfId="2" xr:uid="{00000000-0005-0000-0000-000002000000}"/>
    <cellStyle name="Normální 3" xfId="4" xr:uid="{00000000-0005-0000-0000-000003000000}"/>
    <cellStyle name="Procenta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aha.mmr.cz\dfs\SF\IROP2\15%20-%20Finan&#269;n&#237;%20toky%20a%20alokace\1%20-%20Alokace%20IROP\ALOKACE%20IROP2%20OFICIALNI\Aloka&#269;n&#237;%20model_IROP_leden_2021_v7_pro%20PD%20IRO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aha.mmr.cz\dfs\SF\IROP2\16%20-%20Monitoring%20a%20IS\3%20-%20Indik&#225;tory\P&#345;&#237;prava%20indik&#225;torov&#233;%20soustavy\Kopie%20-%20DRAFT%20indik&#225;torov&#233;%20soustavy%20IROP2_2019_V0.3%20-%20n&#225;vrhov&#225;%20&#269;&#225;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sheetName val="Aktivity - rozpad indiv. a  ITI"/>
      <sheetName val="alokace zjedn. AP - po aktivit."/>
      <sheetName val="rozpad do aktivit v % + klima"/>
      <sheetName val="SC propojené"/>
      <sheetName val="výpočty - převod do CP2 + VSUM"/>
      <sheetName val="různé"/>
      <sheetName val="KR nepapojené pro FP"/>
      <sheetName val="model_ITI (2)"/>
      <sheetName val="model_ITI (3)"/>
      <sheetName val="model_ITI (4)"/>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OP2 - návrh indikátorů"/>
      <sheetName val="Indi VR (IROP 2021)_draft 1"/>
      <sheetName val="finanční tabulky"/>
      <sheetName val="klima pro nk"/>
      <sheetName val="rozpad EFRR  do aktivit + klima"/>
      <sheetName val="KI"/>
      <sheetName val="finanční tabulky -původní alok."/>
    </sheetNames>
    <sheetDataSet>
      <sheetData sheetId="0"/>
      <sheetData sheetId="1"/>
      <sheetData sheetId="2">
        <row r="28">
          <cell r="D28">
            <v>11</v>
          </cell>
          <cell r="L28">
            <v>144718155</v>
          </cell>
        </row>
        <row r="29">
          <cell r="D29">
            <v>11</v>
          </cell>
          <cell r="L29">
            <v>180897693.75</v>
          </cell>
        </row>
        <row r="30">
          <cell r="D30">
            <v>11</v>
          </cell>
          <cell r="L30">
            <v>36179538.75</v>
          </cell>
        </row>
        <row r="31">
          <cell r="D31">
            <v>12</v>
          </cell>
          <cell r="L31">
            <v>144718155</v>
          </cell>
        </row>
        <row r="32">
          <cell r="D32">
            <v>12</v>
          </cell>
          <cell r="L32">
            <v>180897693.75</v>
          </cell>
        </row>
        <row r="33">
          <cell r="D33">
            <v>12</v>
          </cell>
          <cell r="L33">
            <v>36179538.75</v>
          </cell>
        </row>
        <row r="34">
          <cell r="L34">
            <v>54645575.328000009</v>
          </cell>
        </row>
        <row r="35">
          <cell r="L35">
            <v>68306969.160000011</v>
          </cell>
        </row>
        <row r="36">
          <cell r="L36">
            <v>13661393.832000002</v>
          </cell>
        </row>
        <row r="37">
          <cell r="L37">
            <v>54645575.328000009</v>
          </cell>
        </row>
        <row r="38">
          <cell r="L38">
            <v>68306969.160000011</v>
          </cell>
        </row>
        <row r="39">
          <cell r="L39">
            <v>13661393.832000002</v>
          </cell>
        </row>
        <row r="40">
          <cell r="L40">
            <v>54645575.328000009</v>
          </cell>
        </row>
        <row r="41">
          <cell r="L41">
            <v>68306969.160000011</v>
          </cell>
        </row>
        <row r="42">
          <cell r="L42">
            <v>13661393.832000002</v>
          </cell>
        </row>
        <row r="43">
          <cell r="L43">
            <v>54645575.328000009</v>
          </cell>
        </row>
        <row r="44">
          <cell r="L44">
            <v>68306969.160000011</v>
          </cell>
        </row>
        <row r="45">
          <cell r="L45">
            <v>13661393.832000002</v>
          </cell>
        </row>
        <row r="46">
          <cell r="L46">
            <v>54645575.328000009</v>
          </cell>
        </row>
        <row r="47">
          <cell r="L47">
            <v>68306969.160000011</v>
          </cell>
        </row>
        <row r="48">
          <cell r="L48">
            <v>13661393.832000002</v>
          </cell>
        </row>
        <row r="49">
          <cell r="L49">
            <v>120405504.96000002</v>
          </cell>
        </row>
        <row r="50">
          <cell r="L50">
            <v>150506881.20000002</v>
          </cell>
        </row>
        <row r="51">
          <cell r="L51">
            <v>30101376.240000006</v>
          </cell>
        </row>
        <row r="52">
          <cell r="L52">
            <v>19293824.424600005</v>
          </cell>
        </row>
        <row r="53">
          <cell r="L53">
            <v>24121622.07540001</v>
          </cell>
        </row>
        <row r="54">
          <cell r="L54">
            <v>19293824.424600005</v>
          </cell>
        </row>
        <row r="55">
          <cell r="L55">
            <v>24121622.07540001</v>
          </cell>
        </row>
        <row r="56">
          <cell r="L56">
            <v>19293824.424600005</v>
          </cell>
        </row>
        <row r="57">
          <cell r="L57">
            <v>24121622.07540001</v>
          </cell>
        </row>
        <row r="58">
          <cell r="L58">
            <v>19293824.424600005</v>
          </cell>
        </row>
        <row r="59">
          <cell r="L59">
            <v>24121622.07540001</v>
          </cell>
        </row>
        <row r="60">
          <cell r="D60">
            <v>58</v>
          </cell>
          <cell r="L60">
            <v>53593956.734999999</v>
          </cell>
        </row>
        <row r="61">
          <cell r="D61">
            <v>58</v>
          </cell>
          <cell r="L61">
            <v>67004505.765000008</v>
          </cell>
        </row>
        <row r="62">
          <cell r="D62">
            <v>62</v>
          </cell>
          <cell r="L62">
            <v>53593956.734999999</v>
          </cell>
        </row>
        <row r="63">
          <cell r="D63">
            <v>62</v>
          </cell>
          <cell r="L63">
            <v>67004505.765000008</v>
          </cell>
        </row>
        <row r="64">
          <cell r="L64">
            <v>66853292.803053245</v>
          </cell>
        </row>
        <row r="65">
          <cell r="L65">
            <v>83581659.499046773</v>
          </cell>
        </row>
        <row r="66">
          <cell r="L66">
            <v>66853292.803053245</v>
          </cell>
        </row>
        <row r="67">
          <cell r="L67">
            <v>83581659.499046773</v>
          </cell>
        </row>
        <row r="68">
          <cell r="L68">
            <v>66853292.803053245</v>
          </cell>
        </row>
        <row r="69">
          <cell r="L69">
            <v>83581659.499046773</v>
          </cell>
        </row>
        <row r="70">
          <cell r="L70">
            <v>69193849.923000008</v>
          </cell>
        </row>
        <row r="71">
          <cell r="L71">
            <v>86507882.577000022</v>
          </cell>
        </row>
        <row r="72">
          <cell r="L72">
            <v>69193849.923000008</v>
          </cell>
        </row>
        <row r="73">
          <cell r="L73">
            <v>86507882.577000022</v>
          </cell>
        </row>
        <row r="74">
          <cell r="L74">
            <v>34596924.961500004</v>
          </cell>
        </row>
        <row r="75">
          <cell r="L75">
            <v>43253941.288500011</v>
          </cell>
        </row>
        <row r="76">
          <cell r="L76">
            <v>34596924.961500004</v>
          </cell>
        </row>
        <row r="77">
          <cell r="L77">
            <v>43253941.288500011</v>
          </cell>
        </row>
        <row r="78">
          <cell r="L78">
            <v>34596924.961500004</v>
          </cell>
        </row>
        <row r="79">
          <cell r="L79">
            <v>43253941.288500011</v>
          </cell>
        </row>
        <row r="80">
          <cell r="L80">
            <v>34596924.961500004</v>
          </cell>
        </row>
        <row r="81">
          <cell r="L81">
            <v>43253941.288500011</v>
          </cell>
        </row>
        <row r="82">
          <cell r="L82">
            <v>58497216.137800001</v>
          </cell>
        </row>
        <row r="83">
          <cell r="L83">
            <v>73134683.362200007</v>
          </cell>
        </row>
        <row r="84">
          <cell r="L84">
            <v>58497216.137800001</v>
          </cell>
        </row>
        <row r="85">
          <cell r="L85">
            <v>73134683.362200007</v>
          </cell>
        </row>
        <row r="86">
          <cell r="L86">
            <v>133707922.5372</v>
          </cell>
        </row>
        <row r="87">
          <cell r="L87">
            <v>167164990.46280003</v>
          </cell>
        </row>
      </sheetData>
      <sheetData sheetId="3"/>
      <sheetData sheetId="4"/>
      <sheetData sheetId="5"/>
      <sheetData sheetId="6"/>
    </sheetDataSet>
  </externalBook>
</externalLink>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
  <sheetViews>
    <sheetView zoomScale="90" zoomScaleNormal="90" workbookViewId="0">
      <selection activeCell="B5" sqref="B5"/>
    </sheetView>
  </sheetViews>
  <sheetFormatPr defaultColWidth="9.140625" defaultRowHeight="15" x14ac:dyDescent="0.25"/>
  <cols>
    <col min="1" max="1" width="20.85546875" style="2" bestFit="1" customWidth="1"/>
    <col min="2" max="3" width="16.5703125" style="2" bestFit="1" customWidth="1"/>
    <col min="4" max="4" width="19" style="2" bestFit="1" customWidth="1"/>
    <col min="5" max="5" width="18.42578125" style="2" bestFit="1" customWidth="1"/>
    <col min="6" max="7" width="9" style="2" customWidth="1"/>
    <col min="8" max="8" width="11.7109375" style="2" customWidth="1"/>
    <col min="9" max="9" width="17" style="2" customWidth="1"/>
    <col min="10" max="11" width="19" style="2" bestFit="1" customWidth="1"/>
    <col min="12" max="12" width="16.42578125" style="2" bestFit="1" customWidth="1"/>
    <col min="13" max="19" width="5.28515625" style="2" customWidth="1"/>
    <col min="20" max="20" width="6.85546875" style="2" bestFit="1" customWidth="1"/>
    <col min="21" max="21" width="6.5703125" style="2" bestFit="1" customWidth="1"/>
    <col min="22" max="22" width="14" style="2" bestFit="1" customWidth="1"/>
    <col min="23" max="23" width="7.28515625" style="2" bestFit="1" customWidth="1"/>
    <col min="24" max="24" width="7.5703125" style="2" bestFit="1" customWidth="1"/>
    <col min="25" max="25" width="12.85546875" style="2" bestFit="1" customWidth="1"/>
    <col min="26" max="26" width="14" style="2" bestFit="1" customWidth="1"/>
    <col min="27" max="27" width="12.7109375" style="2" bestFit="1" customWidth="1"/>
    <col min="28" max="28" width="6.85546875" style="2" bestFit="1" customWidth="1"/>
    <col min="29" max="29" width="20" style="2" customWidth="1"/>
    <col min="30" max="16384" width="9.140625" style="2"/>
  </cols>
  <sheetData>
    <row r="1" spans="1:9" ht="18.75" x14ac:dyDescent="0.3">
      <c r="A1" s="1" t="s">
        <v>0</v>
      </c>
    </row>
    <row r="2" spans="1:9" ht="18.75" x14ac:dyDescent="0.3">
      <c r="A2" s="1"/>
      <c r="B2" s="38" t="s">
        <v>1</v>
      </c>
      <c r="C2" s="38" t="s">
        <v>2</v>
      </c>
      <c r="D2" s="38"/>
      <c r="E2"/>
      <c r="F2"/>
    </row>
    <row r="3" spans="1:9" x14ac:dyDescent="0.25">
      <c r="A3" s="45" t="s">
        <v>3</v>
      </c>
      <c r="B3" s="46">
        <v>3747538872</v>
      </c>
      <c r="C3" s="37">
        <f>B3/70*85</f>
        <v>4550582916</v>
      </c>
      <c r="D3" s="71" t="s">
        <v>4</v>
      </c>
      <c r="E3" s="47"/>
      <c r="F3" s="146" t="s">
        <v>5</v>
      </c>
      <c r="G3" s="146"/>
      <c r="H3" s="146"/>
    </row>
    <row r="4" spans="1:9" x14ac:dyDescent="0.25">
      <c r="A4" s="45" t="s">
        <v>6</v>
      </c>
      <c r="B4" s="46">
        <v>6419150887</v>
      </c>
      <c r="C4" s="46">
        <f>B4</f>
        <v>6419150887</v>
      </c>
      <c r="D4" s="58"/>
      <c r="F4" s="146"/>
      <c r="G4" s="146"/>
      <c r="H4" s="146"/>
    </row>
    <row r="5" spans="1:9" x14ac:dyDescent="0.25">
      <c r="B5" s="79">
        <f>SUM(B3:B4)</f>
        <v>10166689759</v>
      </c>
      <c r="C5" s="79">
        <f>SUM(C3:C4)</f>
        <v>10969733803</v>
      </c>
    </row>
    <row r="6" spans="1:9" x14ac:dyDescent="0.25">
      <c r="B6" s="72"/>
      <c r="C6" s="72"/>
    </row>
    <row r="7" spans="1:9" x14ac:dyDescent="0.25">
      <c r="A7" s="147"/>
      <c r="B7" s="149" t="s">
        <v>7</v>
      </c>
      <c r="C7" s="149"/>
      <c r="D7" s="150"/>
      <c r="E7" s="150"/>
      <c r="F7" s="149"/>
      <c r="G7" s="149"/>
      <c r="H7" s="152" t="s">
        <v>8</v>
      </c>
      <c r="I7" s="151" t="s">
        <v>9</v>
      </c>
    </row>
    <row r="8" spans="1:9" ht="30" x14ac:dyDescent="0.25">
      <c r="A8" s="148"/>
      <c r="B8" s="73" t="s">
        <v>10</v>
      </c>
      <c r="C8" s="7" t="s">
        <v>11</v>
      </c>
      <c r="D8" s="98" t="s">
        <v>1</v>
      </c>
      <c r="E8" s="36" t="s">
        <v>2</v>
      </c>
      <c r="F8" s="6" t="s">
        <v>12</v>
      </c>
      <c r="G8" s="73" t="s">
        <v>13</v>
      </c>
      <c r="H8" s="153"/>
      <c r="I8" s="151"/>
    </row>
    <row r="9" spans="1:9" x14ac:dyDescent="0.25">
      <c r="A9" s="8" t="s">
        <v>14</v>
      </c>
      <c r="B9" s="48">
        <v>1204.395</v>
      </c>
      <c r="C9" s="49">
        <v>9.9678179831140632</v>
      </c>
      <c r="D9" s="97">
        <f>C9/SUM($C$33:$C$37)*$B$3</f>
        <v>651511755.56636488</v>
      </c>
      <c r="E9" s="69">
        <f>C9/SUM($C$33:$C$37)*$C$3</f>
        <v>791121417.47344315</v>
      </c>
      <c r="F9" s="50">
        <f>E9/SUM($C$3:$C$4)*100</f>
        <v>7.2118561095537936</v>
      </c>
      <c r="G9" s="51">
        <f>F9-C9</f>
        <v>-2.7559618735602696</v>
      </c>
      <c r="H9" s="52">
        <v>782.64</v>
      </c>
      <c r="I9" s="19">
        <f>E9/H9</f>
        <v>1010836.9332942901</v>
      </c>
    </row>
    <row r="10" spans="1:9" x14ac:dyDescent="0.25">
      <c r="A10" s="8" t="s">
        <v>15</v>
      </c>
      <c r="B10" s="48">
        <v>1056.07</v>
      </c>
      <c r="C10" s="49">
        <v>8.740250115142679</v>
      </c>
      <c r="D10" s="97">
        <f>C10/SUM($C$33:$C$37)*$B$3</f>
        <v>571276051.2132405</v>
      </c>
      <c r="E10" s="69">
        <f>C10/SUM($C$33:$C$37)*$C$3</f>
        <v>693692347.90179205</v>
      </c>
      <c r="F10" s="50">
        <f t="shared" ref="F10:F21" si="0">E10/SUM($C$3:$C$4)*100</f>
        <v>6.3236935404219308</v>
      </c>
      <c r="G10" s="51">
        <f t="shared" ref="G10:G21" si="1">F10-C10</f>
        <v>-2.4165565747207483</v>
      </c>
      <c r="H10" s="52">
        <v>644.64</v>
      </c>
      <c r="I10" s="19">
        <f>E10/H10</f>
        <v>1076092.6220864234</v>
      </c>
    </row>
    <row r="11" spans="1:9" x14ac:dyDescent="0.25">
      <c r="A11" s="8" t="s">
        <v>16</v>
      </c>
      <c r="B11" s="48">
        <v>1183.96</v>
      </c>
      <c r="C11" s="49">
        <v>9.7986937668187988</v>
      </c>
      <c r="D11" s="97">
        <f>C11/SUM($C$33:$C$37)*$B$3</f>
        <v>640457539.36237991</v>
      </c>
      <c r="E11" s="69">
        <f>C11/SUM($C$33:$C$37)*$C$3</f>
        <v>777698440.65431845</v>
      </c>
      <c r="F11" s="50">
        <f t="shared" si="0"/>
        <v>7.0894923670949392</v>
      </c>
      <c r="G11" s="51">
        <f t="shared" si="1"/>
        <v>-2.7092013997238595</v>
      </c>
      <c r="H11" s="52">
        <v>741.88</v>
      </c>
      <c r="I11" s="19">
        <f t="shared" ref="I11:I21" si="2">E11/H11</f>
        <v>1048280.6392601478</v>
      </c>
    </row>
    <row r="12" spans="1:9" x14ac:dyDescent="0.25">
      <c r="A12" s="8" t="s">
        <v>17</v>
      </c>
      <c r="B12" s="48">
        <v>1196.145</v>
      </c>
      <c r="C12" s="49">
        <v>9.8995393051382408</v>
      </c>
      <c r="D12" s="97">
        <f>C12/SUM($C$33:$C$37)*$B$3</f>
        <v>647048957.24569559</v>
      </c>
      <c r="E12" s="69">
        <f>C12/SUM($C$33:$C$37)*$C$3</f>
        <v>785702305.22691607</v>
      </c>
      <c r="F12" s="50">
        <f t="shared" si="0"/>
        <v>7.1624555284289793</v>
      </c>
      <c r="G12" s="51">
        <f t="shared" si="1"/>
        <v>-2.7370837767092615</v>
      </c>
      <c r="H12" s="52">
        <v>896.87</v>
      </c>
      <c r="I12" s="19">
        <f t="shared" si="2"/>
        <v>876049.26603288774</v>
      </c>
    </row>
    <row r="13" spans="1:9" x14ac:dyDescent="0.25">
      <c r="A13" s="8" t="s">
        <v>18</v>
      </c>
      <c r="B13" s="48">
        <v>2287.19</v>
      </c>
      <c r="C13" s="49">
        <v>18.929249633881454</v>
      </c>
      <c r="D13" s="97">
        <f>C13/SUM($C$33:$C$37)*$B$3</f>
        <v>1237244568.6123192</v>
      </c>
      <c r="E13" s="69">
        <f>C13/SUM($C$33:$C$37)*$C$3</f>
        <v>1502368404.7435305</v>
      </c>
      <c r="F13" s="50">
        <f t="shared" si="0"/>
        <v>13.695577593073981</v>
      </c>
      <c r="G13" s="51">
        <f t="shared" si="1"/>
        <v>-5.2336720408074733</v>
      </c>
      <c r="H13" s="52">
        <v>2187</v>
      </c>
      <c r="I13" s="19">
        <f t="shared" si="2"/>
        <v>686954.00308346155</v>
      </c>
    </row>
    <row r="14" spans="1:9" x14ac:dyDescent="0.25">
      <c r="A14" s="9" t="s">
        <v>19</v>
      </c>
      <c r="B14" s="53">
        <v>403.6</v>
      </c>
      <c r="C14" s="54">
        <v>3.3402756886111584</v>
      </c>
      <c r="D14" s="99">
        <f t="shared" ref="D14:D21" si="3">C14/SUM($C$38:$C$45)*$B$4</f>
        <v>502566751.79181677</v>
      </c>
      <c r="E14" s="70">
        <f t="shared" ref="E14:E21" si="4">C14/SUM($C$38:$C$45)*$C$4</f>
        <v>502566751.79181677</v>
      </c>
      <c r="F14" s="55">
        <f t="shared" si="0"/>
        <v>4.5813942326875328</v>
      </c>
      <c r="G14" s="56">
        <f t="shared" si="1"/>
        <v>1.2411185440763743</v>
      </c>
      <c r="H14" s="57">
        <v>331.55</v>
      </c>
      <c r="I14" s="21">
        <f t="shared" si="2"/>
        <v>1515809.8380087973</v>
      </c>
    </row>
    <row r="15" spans="1:9" x14ac:dyDescent="0.25">
      <c r="A15" s="9" t="s">
        <v>20</v>
      </c>
      <c r="B15" s="53">
        <v>813.82500000000005</v>
      </c>
      <c r="C15" s="54">
        <v>6.7353812246877505</v>
      </c>
      <c r="D15" s="99">
        <f t="shared" si="3"/>
        <v>1013383019.7645571</v>
      </c>
      <c r="E15" s="70">
        <f t="shared" si="4"/>
        <v>1013383019.7645571</v>
      </c>
      <c r="F15" s="55">
        <f t="shared" si="0"/>
        <v>9.2379909846802057</v>
      </c>
      <c r="G15" s="56">
        <f t="shared" si="1"/>
        <v>2.5026097599924553</v>
      </c>
      <c r="H15" s="57">
        <v>731.42</v>
      </c>
      <c r="I15" s="21">
        <f t="shared" si="2"/>
        <v>1385500.8336722502</v>
      </c>
    </row>
    <row r="16" spans="1:9" x14ac:dyDescent="0.25">
      <c r="A16" s="9" t="s">
        <v>21</v>
      </c>
      <c r="B16" s="53">
        <v>465.59000000000003</v>
      </c>
      <c r="C16" s="54">
        <v>3.8533175368197945</v>
      </c>
      <c r="D16" s="99">
        <f t="shared" si="3"/>
        <v>579757319.0454706</v>
      </c>
      <c r="E16" s="70">
        <f t="shared" si="4"/>
        <v>579757319.0454706</v>
      </c>
      <c r="F16" s="55">
        <f t="shared" si="0"/>
        <v>5.2850627869102782</v>
      </c>
      <c r="G16" s="56">
        <f t="shared" si="1"/>
        <v>1.4317452500904837</v>
      </c>
      <c r="H16" s="57">
        <v>448.26</v>
      </c>
      <c r="I16" s="21">
        <f t="shared" si="2"/>
        <v>1293350.5533517839</v>
      </c>
    </row>
    <row r="17" spans="1:9" x14ac:dyDescent="0.25">
      <c r="A17" s="9" t="s">
        <v>22</v>
      </c>
      <c r="B17" s="53">
        <v>792.05</v>
      </c>
      <c r="C17" s="54">
        <v>6.555166895848533</v>
      </c>
      <c r="D17" s="99">
        <f t="shared" si="3"/>
        <v>986268572.2415967</v>
      </c>
      <c r="E17" s="70">
        <f t="shared" si="4"/>
        <v>986268572.2415967</v>
      </c>
      <c r="F17" s="55">
        <f t="shared" si="0"/>
        <v>8.9908159117942521</v>
      </c>
      <c r="G17" s="56">
        <f t="shared" si="1"/>
        <v>2.4356490159457191</v>
      </c>
      <c r="H17" s="57">
        <v>737.42</v>
      </c>
      <c r="I17" s="21">
        <f t="shared" si="2"/>
        <v>1337458.398526751</v>
      </c>
    </row>
    <row r="18" spans="1:9" x14ac:dyDescent="0.25">
      <c r="A18" s="9" t="s">
        <v>23</v>
      </c>
      <c r="B18" s="53">
        <v>741.07</v>
      </c>
      <c r="C18" s="54">
        <v>6.1332460469749037</v>
      </c>
      <c r="D18" s="99">
        <f t="shared" si="3"/>
        <v>922787766.97314584</v>
      </c>
      <c r="E18" s="70">
        <f t="shared" si="4"/>
        <v>922787766.97314584</v>
      </c>
      <c r="F18" s="55">
        <f t="shared" si="0"/>
        <v>8.4121254311639007</v>
      </c>
      <c r="G18" s="56">
        <f t="shared" si="1"/>
        <v>2.2788793841889969</v>
      </c>
      <c r="H18" s="57">
        <v>545.69000000000005</v>
      </c>
      <c r="I18" s="21">
        <f t="shared" si="2"/>
        <v>1691047.6039017497</v>
      </c>
    </row>
    <row r="19" spans="1:9" x14ac:dyDescent="0.25">
      <c r="A19" s="9" t="s">
        <v>24</v>
      </c>
      <c r="B19" s="53">
        <v>724.96</v>
      </c>
      <c r="C19" s="54">
        <v>5.999916410345751</v>
      </c>
      <c r="D19" s="99">
        <f t="shared" si="3"/>
        <v>902727434.04111862</v>
      </c>
      <c r="E19" s="70">
        <f t="shared" si="4"/>
        <v>902727434.04111862</v>
      </c>
      <c r="F19" s="55">
        <f t="shared" si="0"/>
        <v>8.229255606861134</v>
      </c>
      <c r="G19" s="56">
        <f t="shared" si="1"/>
        <v>2.229339196515383</v>
      </c>
      <c r="H19" s="57">
        <v>537.41999999999996</v>
      </c>
      <c r="I19" s="21">
        <f t="shared" si="2"/>
        <v>1679742.9087885057</v>
      </c>
    </row>
    <row r="20" spans="1:9" x14ac:dyDescent="0.25">
      <c r="A20" s="9" t="s">
        <v>25</v>
      </c>
      <c r="B20" s="53">
        <v>717.68499999999995</v>
      </c>
      <c r="C20" s="54">
        <v>5.9397070306761623</v>
      </c>
      <c r="D20" s="99">
        <f t="shared" si="3"/>
        <v>893668531.36697221</v>
      </c>
      <c r="E20" s="70">
        <f t="shared" si="4"/>
        <v>893668531.36697221</v>
      </c>
      <c r="F20" s="55">
        <f t="shared" si="0"/>
        <v>8.1466747271713373</v>
      </c>
      <c r="G20" s="56">
        <f t="shared" si="1"/>
        <v>2.206967696495175</v>
      </c>
      <c r="H20" s="57">
        <v>535.25</v>
      </c>
      <c r="I20" s="21">
        <f t="shared" si="2"/>
        <v>1669628.2697187711</v>
      </c>
    </row>
    <row r="21" spans="1:9" x14ac:dyDescent="0.25">
      <c r="A21" s="9" t="s">
        <v>26</v>
      </c>
      <c r="B21" s="53">
        <v>496.29499999999996</v>
      </c>
      <c r="C21" s="54">
        <v>4.1074383619407202</v>
      </c>
      <c r="D21" s="99">
        <f t="shared" si="3"/>
        <v>617991491.77532125</v>
      </c>
      <c r="E21" s="70">
        <f t="shared" si="4"/>
        <v>617991491.77532125</v>
      </c>
      <c r="F21" s="55">
        <f t="shared" si="0"/>
        <v>5.6336051801577272</v>
      </c>
      <c r="G21" s="56">
        <f t="shared" si="1"/>
        <v>1.5261668182170069</v>
      </c>
      <c r="H21" s="57">
        <v>479.34</v>
      </c>
      <c r="I21" s="21">
        <f t="shared" si="2"/>
        <v>1289255.0001571353</v>
      </c>
    </row>
    <row r="22" spans="1:9" x14ac:dyDescent="0.25">
      <c r="A22" s="10" t="s">
        <v>27</v>
      </c>
      <c r="B22" s="11">
        <v>12082.834999999999</v>
      </c>
      <c r="C22" s="12">
        <v>100</v>
      </c>
      <c r="D22" s="13"/>
      <c r="E22" s="13"/>
      <c r="F22" s="12"/>
      <c r="G22" s="12"/>
      <c r="H22" s="12"/>
      <c r="I22" s="12"/>
    </row>
    <row r="23" spans="1:9" x14ac:dyDescent="0.25">
      <c r="D23" s="76"/>
    </row>
    <row r="26" spans="1:9" ht="18.75" x14ac:dyDescent="0.3">
      <c r="A26" s="1"/>
      <c r="B26" s="38" t="s">
        <v>1</v>
      </c>
      <c r="C26" s="38" t="s">
        <v>2</v>
      </c>
      <c r="D26" s="38"/>
      <c r="E26"/>
      <c r="F26"/>
    </row>
    <row r="27" spans="1:9" x14ac:dyDescent="0.25">
      <c r="A27" s="45" t="s">
        <v>3</v>
      </c>
      <c r="B27" s="46">
        <f>B3/24.5</f>
        <v>152960770.2857143</v>
      </c>
      <c r="C27" s="37">
        <f>B27/70*85</f>
        <v>185738078.20408162</v>
      </c>
      <c r="D27" s="71" t="s">
        <v>4</v>
      </c>
      <c r="E27" s="47"/>
      <c r="F27" s="146" t="s">
        <v>28</v>
      </c>
      <c r="G27" s="146"/>
      <c r="H27" s="146"/>
    </row>
    <row r="28" spans="1:9" x14ac:dyDescent="0.25">
      <c r="A28" s="45" t="s">
        <v>6</v>
      </c>
      <c r="B28" s="46">
        <f>B4/24.5</f>
        <v>262006158.65306121</v>
      </c>
      <c r="C28" s="46">
        <f>B28</f>
        <v>262006158.65306121</v>
      </c>
      <c r="D28" s="58"/>
      <c r="F28" s="146"/>
      <c r="G28" s="146"/>
      <c r="H28" s="146"/>
    </row>
    <row r="29" spans="1:9" x14ac:dyDescent="0.25">
      <c r="B29" s="79">
        <f>SUM(B27:B28)</f>
        <v>414966928.93877554</v>
      </c>
      <c r="C29" s="79">
        <f>SUM(C27:C28)</f>
        <v>447744236.85714281</v>
      </c>
    </row>
    <row r="30" spans="1:9" x14ac:dyDescent="0.25">
      <c r="B30" s="79"/>
      <c r="C30" s="79"/>
    </row>
    <row r="31" spans="1:9" x14ac:dyDescent="0.25">
      <c r="A31" s="147"/>
      <c r="B31" s="149" t="s">
        <v>7</v>
      </c>
      <c r="C31" s="149"/>
      <c r="D31" s="150"/>
      <c r="E31" s="150"/>
      <c r="F31" s="149"/>
      <c r="G31" s="149"/>
      <c r="H31" s="152" t="s">
        <v>8</v>
      </c>
      <c r="I31" s="151" t="s">
        <v>9</v>
      </c>
    </row>
    <row r="32" spans="1:9" ht="30" x14ac:dyDescent="0.25">
      <c r="A32" s="148"/>
      <c r="B32" s="73" t="s">
        <v>10</v>
      </c>
      <c r="C32" s="7" t="s">
        <v>11</v>
      </c>
      <c r="D32" s="36" t="s">
        <v>1</v>
      </c>
      <c r="E32" s="36" t="s">
        <v>2</v>
      </c>
      <c r="F32" s="6" t="s">
        <v>12</v>
      </c>
      <c r="G32" s="73" t="s">
        <v>13</v>
      </c>
      <c r="H32" s="153"/>
      <c r="I32" s="151"/>
    </row>
    <row r="33" spans="1:9" x14ac:dyDescent="0.25">
      <c r="A33" s="8" t="s">
        <v>14</v>
      </c>
      <c r="B33" s="48">
        <v>1204.395</v>
      </c>
      <c r="C33" s="49">
        <v>9.9678179831140632</v>
      </c>
      <c r="D33" s="69">
        <f>C33/SUM($C$33:$C$37)*$B$27</f>
        <v>26592316.553729184</v>
      </c>
      <c r="E33" s="69">
        <f>C33/SUM($C$33:$C$37)*$C$27</f>
        <v>32290670.100956861</v>
      </c>
      <c r="F33" s="50">
        <f t="shared" ref="F33:F45" si="5">E33/SUM($C$27:$C$28)*100</f>
        <v>7.2118561095537936</v>
      </c>
      <c r="G33" s="51">
        <f>F33-C33</f>
        <v>-2.7559618735602696</v>
      </c>
      <c r="H33" s="52">
        <v>782.64</v>
      </c>
      <c r="I33" s="51">
        <f>E33/H33</f>
        <v>41258.650338542451</v>
      </c>
    </row>
    <row r="34" spans="1:9" x14ac:dyDescent="0.25">
      <c r="A34" s="8" t="s">
        <v>15</v>
      </c>
      <c r="B34" s="48">
        <v>1056.07</v>
      </c>
      <c r="C34" s="49">
        <v>8.740250115142679</v>
      </c>
      <c r="D34" s="69">
        <f>C34/SUM($C$33:$C$37)*$B$27</f>
        <v>23317389.845438391</v>
      </c>
      <c r="E34" s="69">
        <f>C34/SUM($C$33:$C$37)*$C$27</f>
        <v>28313973.383746613</v>
      </c>
      <c r="F34" s="50">
        <f t="shared" si="5"/>
        <v>6.3236935404219317</v>
      </c>
      <c r="G34" s="51">
        <f t="shared" ref="G34:G45" si="6">F34-C34</f>
        <v>-2.4165565747207474</v>
      </c>
      <c r="H34" s="52">
        <v>644.64</v>
      </c>
      <c r="I34" s="51">
        <f>E34/H34</f>
        <v>43922.14784026218</v>
      </c>
    </row>
    <row r="35" spans="1:9" x14ac:dyDescent="0.25">
      <c r="A35" s="8" t="s">
        <v>16</v>
      </c>
      <c r="B35" s="48">
        <v>1183.96</v>
      </c>
      <c r="C35" s="49">
        <v>9.7986937668187988</v>
      </c>
      <c r="D35" s="69">
        <f>C35/SUM($C$33:$C$37)*$B$27</f>
        <v>26141124.055607345</v>
      </c>
      <c r="E35" s="69">
        <f>C35/SUM($C$33:$C$37)*$C$27</f>
        <v>31742793.496094629</v>
      </c>
      <c r="F35" s="50">
        <f t="shared" si="5"/>
        <v>7.089492367094941</v>
      </c>
      <c r="G35" s="51">
        <f t="shared" si="6"/>
        <v>-2.7092013997238578</v>
      </c>
      <c r="H35" s="52">
        <v>741.88</v>
      </c>
      <c r="I35" s="51">
        <f t="shared" ref="I35:I45" si="7">E35/H35</f>
        <v>42786.964867761133</v>
      </c>
    </row>
    <row r="36" spans="1:9" x14ac:dyDescent="0.25">
      <c r="A36" s="8" t="s">
        <v>17</v>
      </c>
      <c r="B36" s="48">
        <v>1196.145</v>
      </c>
      <c r="C36" s="49">
        <v>9.8995393051382408</v>
      </c>
      <c r="D36" s="69">
        <f>C36/SUM($C$33:$C$37)*$B$27</f>
        <v>26410161.520232476</v>
      </c>
      <c r="E36" s="69">
        <f>C36/SUM($C$33:$C$37)*$C$27</f>
        <v>32069481.845996574</v>
      </c>
      <c r="F36" s="50">
        <f t="shared" si="5"/>
        <v>7.162455528428981</v>
      </c>
      <c r="G36" s="51">
        <f t="shared" si="6"/>
        <v>-2.7370837767092597</v>
      </c>
      <c r="H36" s="52">
        <v>896.87</v>
      </c>
      <c r="I36" s="51">
        <f t="shared" si="7"/>
        <v>35757.112899301545</v>
      </c>
    </row>
    <row r="37" spans="1:9" x14ac:dyDescent="0.25">
      <c r="A37" s="8" t="s">
        <v>18</v>
      </c>
      <c r="B37" s="48">
        <v>2287.19</v>
      </c>
      <c r="C37" s="49">
        <v>18.929249633881454</v>
      </c>
      <c r="D37" s="69">
        <f>C37/SUM($C$33:$C$37)*$B$27</f>
        <v>50499778.310706906</v>
      </c>
      <c r="E37" s="69">
        <f>C37/SUM($C$33:$C$37)*$C$27</f>
        <v>61321159.377286956</v>
      </c>
      <c r="F37" s="50">
        <f t="shared" si="5"/>
        <v>13.695577593073985</v>
      </c>
      <c r="G37" s="51">
        <f t="shared" si="6"/>
        <v>-5.2336720408074697</v>
      </c>
      <c r="H37" s="52">
        <v>2187</v>
      </c>
      <c r="I37" s="51">
        <f t="shared" si="7"/>
        <v>28038.938901365778</v>
      </c>
    </row>
    <row r="38" spans="1:9" x14ac:dyDescent="0.25">
      <c r="A38" s="9" t="s">
        <v>19</v>
      </c>
      <c r="B38" s="53">
        <v>403.6</v>
      </c>
      <c r="C38" s="54">
        <v>3.3402756886111584</v>
      </c>
      <c r="D38" s="70">
        <f t="shared" ref="D38:D45" si="8">C38/SUM($C$38:$C$45)*$B$28</f>
        <v>20512928.644563947</v>
      </c>
      <c r="E38" s="70">
        <f t="shared" ref="E38:E45" si="9">C38/SUM($C$38:$C$45)*$C$28</f>
        <v>20512928.644563947</v>
      </c>
      <c r="F38" s="55">
        <f t="shared" si="5"/>
        <v>4.5813942326875328</v>
      </c>
      <c r="G38" s="56">
        <f t="shared" si="6"/>
        <v>1.2411185440763743</v>
      </c>
      <c r="H38" s="57">
        <v>331.55</v>
      </c>
      <c r="I38" s="56">
        <f t="shared" si="7"/>
        <v>61869.789306481514</v>
      </c>
    </row>
    <row r="39" spans="1:9" x14ac:dyDescent="0.25">
      <c r="A39" s="9" t="s">
        <v>20</v>
      </c>
      <c r="B39" s="53">
        <v>813.82500000000005</v>
      </c>
      <c r="C39" s="54">
        <v>6.7353812246877505</v>
      </c>
      <c r="D39" s="70">
        <f t="shared" si="8"/>
        <v>41362572.235288046</v>
      </c>
      <c r="E39" s="70">
        <f t="shared" si="9"/>
        <v>41362572.235288046</v>
      </c>
      <c r="F39" s="55">
        <f t="shared" si="5"/>
        <v>9.2379909846802075</v>
      </c>
      <c r="G39" s="56">
        <f t="shared" si="6"/>
        <v>2.5026097599924571</v>
      </c>
      <c r="H39" s="57">
        <v>731.42</v>
      </c>
      <c r="I39" s="56">
        <f t="shared" si="7"/>
        <v>56551.054435602047</v>
      </c>
    </row>
    <row r="40" spans="1:9" x14ac:dyDescent="0.25">
      <c r="A40" s="9" t="s">
        <v>21</v>
      </c>
      <c r="B40" s="53">
        <v>465.59000000000003</v>
      </c>
      <c r="C40" s="54">
        <v>3.8533175368197945</v>
      </c>
      <c r="D40" s="70">
        <f t="shared" si="8"/>
        <v>23663564.042672269</v>
      </c>
      <c r="E40" s="70">
        <f t="shared" si="9"/>
        <v>23663564.042672269</v>
      </c>
      <c r="F40" s="55">
        <f t="shared" si="5"/>
        <v>5.2850627869102782</v>
      </c>
      <c r="G40" s="56">
        <f t="shared" si="6"/>
        <v>1.4317452500904837</v>
      </c>
      <c r="H40" s="57">
        <v>448.26</v>
      </c>
      <c r="I40" s="56">
        <f t="shared" si="7"/>
        <v>52789.818504154442</v>
      </c>
    </row>
    <row r="41" spans="1:9" x14ac:dyDescent="0.25">
      <c r="A41" s="9" t="s">
        <v>22</v>
      </c>
      <c r="B41" s="53">
        <v>792.05</v>
      </c>
      <c r="C41" s="54">
        <v>6.555166895848533</v>
      </c>
      <c r="D41" s="70">
        <f t="shared" si="8"/>
        <v>40255860.091493741</v>
      </c>
      <c r="E41" s="70">
        <f t="shared" si="9"/>
        <v>40255860.091493741</v>
      </c>
      <c r="F41" s="55">
        <f t="shared" si="5"/>
        <v>8.9908159117942521</v>
      </c>
      <c r="G41" s="56">
        <f t="shared" si="6"/>
        <v>2.4356490159457191</v>
      </c>
      <c r="H41" s="57">
        <v>737.42</v>
      </c>
      <c r="I41" s="56">
        <f t="shared" si="7"/>
        <v>54590.138715377594</v>
      </c>
    </row>
    <row r="42" spans="1:9" x14ac:dyDescent="0.25">
      <c r="A42" s="9" t="s">
        <v>23</v>
      </c>
      <c r="B42" s="53">
        <v>741.07</v>
      </c>
      <c r="C42" s="54">
        <v>6.1332460469749037</v>
      </c>
      <c r="D42" s="70">
        <f t="shared" si="8"/>
        <v>37664806.815230437</v>
      </c>
      <c r="E42" s="70">
        <f t="shared" si="9"/>
        <v>37664806.815230437</v>
      </c>
      <c r="F42" s="55">
        <f t="shared" si="5"/>
        <v>8.4121254311639007</v>
      </c>
      <c r="G42" s="56">
        <f t="shared" si="6"/>
        <v>2.2788793841889969</v>
      </c>
      <c r="H42" s="57">
        <v>545.69000000000005</v>
      </c>
      <c r="I42" s="56">
        <f t="shared" si="7"/>
        <v>69022.351179663237</v>
      </c>
    </row>
    <row r="43" spans="1:9" x14ac:dyDescent="0.25">
      <c r="A43" s="9" t="s">
        <v>24</v>
      </c>
      <c r="B43" s="53">
        <v>724.96</v>
      </c>
      <c r="C43" s="54">
        <v>5.999916410345751</v>
      </c>
      <c r="D43" s="70">
        <f t="shared" si="8"/>
        <v>36846017.715964019</v>
      </c>
      <c r="E43" s="70">
        <f t="shared" si="9"/>
        <v>36846017.715964019</v>
      </c>
      <c r="F43" s="55">
        <f t="shared" si="5"/>
        <v>8.229255606861134</v>
      </c>
      <c r="G43" s="56">
        <f t="shared" si="6"/>
        <v>2.229339196515383</v>
      </c>
      <c r="H43" s="57">
        <v>537.41999999999996</v>
      </c>
      <c r="I43" s="56">
        <f t="shared" si="7"/>
        <v>68560.93505259206</v>
      </c>
    </row>
    <row r="44" spans="1:9" x14ac:dyDescent="0.25">
      <c r="A44" s="9" t="s">
        <v>25</v>
      </c>
      <c r="B44" s="53">
        <v>717.68499999999995</v>
      </c>
      <c r="C44" s="54">
        <v>5.9397070306761623</v>
      </c>
      <c r="D44" s="70">
        <f t="shared" si="8"/>
        <v>36476266.586407028</v>
      </c>
      <c r="E44" s="70">
        <f t="shared" si="9"/>
        <v>36476266.586407028</v>
      </c>
      <c r="F44" s="55">
        <f t="shared" si="5"/>
        <v>8.1466747271713373</v>
      </c>
      <c r="G44" s="56">
        <f t="shared" si="6"/>
        <v>2.206967696495175</v>
      </c>
      <c r="H44" s="57">
        <v>535.25</v>
      </c>
      <c r="I44" s="56">
        <f t="shared" si="7"/>
        <v>68148.092641582494</v>
      </c>
    </row>
    <row r="45" spans="1:9" x14ac:dyDescent="0.25">
      <c r="A45" s="9" t="s">
        <v>26</v>
      </c>
      <c r="B45" s="53">
        <v>496.29499999999996</v>
      </c>
      <c r="C45" s="54">
        <v>4.1074383619407202</v>
      </c>
      <c r="D45" s="70">
        <f t="shared" si="8"/>
        <v>25224142.521441683</v>
      </c>
      <c r="E45" s="70">
        <f t="shared" si="9"/>
        <v>25224142.521441683</v>
      </c>
      <c r="F45" s="55">
        <f t="shared" si="5"/>
        <v>5.6336051801577272</v>
      </c>
      <c r="G45" s="56">
        <f t="shared" si="6"/>
        <v>1.5261668182170069</v>
      </c>
      <c r="H45" s="57">
        <v>479.34</v>
      </c>
      <c r="I45" s="56">
        <f t="shared" si="7"/>
        <v>52622.653067638181</v>
      </c>
    </row>
    <row r="46" spans="1:9" x14ac:dyDescent="0.25">
      <c r="A46" s="10" t="s">
        <v>27</v>
      </c>
      <c r="B46" s="11">
        <v>12082.834999999999</v>
      </c>
      <c r="C46" s="12">
        <v>100</v>
      </c>
      <c r="D46" s="13"/>
      <c r="E46" s="13"/>
      <c r="F46" s="12"/>
      <c r="G46" s="12"/>
      <c r="H46" s="12"/>
      <c r="I46" s="12"/>
    </row>
  </sheetData>
  <mergeCells count="10">
    <mergeCell ref="F3:H4"/>
    <mergeCell ref="A31:A32"/>
    <mergeCell ref="B31:G31"/>
    <mergeCell ref="I31:I32"/>
    <mergeCell ref="H31:H32"/>
    <mergeCell ref="A7:A8"/>
    <mergeCell ref="B7:G7"/>
    <mergeCell ref="H7:H8"/>
    <mergeCell ref="I7:I8"/>
    <mergeCell ref="F27:H28"/>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6"/>
  <sheetViews>
    <sheetView workbookViewId="0">
      <selection activeCell="M35" sqref="M35"/>
    </sheetView>
  </sheetViews>
  <sheetFormatPr defaultColWidth="9.140625" defaultRowHeight="15.75" customHeight="1" x14ac:dyDescent="0.25"/>
  <cols>
    <col min="1" max="1" width="19.85546875" style="2" customWidth="1"/>
    <col min="2" max="2" width="15.140625" style="2" customWidth="1"/>
    <col min="3" max="3" width="14.85546875" style="2" customWidth="1"/>
    <col min="4" max="4" width="16.42578125" style="2" bestFit="1" customWidth="1"/>
    <col min="5" max="5" width="15.28515625" style="2" bestFit="1" customWidth="1"/>
    <col min="6" max="6" width="12.7109375" style="2" bestFit="1" customWidth="1"/>
    <col min="7" max="7" width="6.85546875" style="2" customWidth="1"/>
    <col min="8" max="8" width="16.42578125" style="2" bestFit="1" customWidth="1"/>
    <col min="9" max="16384" width="9.140625" style="2"/>
  </cols>
  <sheetData>
    <row r="1" spans="1:7" ht="15.75" customHeight="1" x14ac:dyDescent="0.3">
      <c r="A1" s="1" t="s">
        <v>29</v>
      </c>
    </row>
    <row r="3" spans="1:7" ht="15.75" customHeight="1" x14ac:dyDescent="0.3">
      <c r="A3" s="1"/>
      <c r="B3" s="66" t="s">
        <v>1</v>
      </c>
      <c r="C3" s="66" t="s">
        <v>2</v>
      </c>
    </row>
    <row r="4" spans="1:7" ht="15.75" customHeight="1" x14ac:dyDescent="0.25">
      <c r="A4" s="67" t="s">
        <v>3</v>
      </c>
      <c r="B4" s="68">
        <v>932698578</v>
      </c>
      <c r="C4" s="68">
        <f>B4/70*85</f>
        <v>1132562559</v>
      </c>
      <c r="D4" s="71" t="s">
        <v>4</v>
      </c>
      <c r="E4" s="157" t="s">
        <v>5</v>
      </c>
      <c r="F4" s="157"/>
      <c r="G4" s="76"/>
    </row>
    <row r="5" spans="1:7" ht="15.75" customHeight="1" x14ac:dyDescent="0.25">
      <c r="A5" s="67" t="s">
        <v>6</v>
      </c>
      <c r="B5" s="68">
        <v>933962507</v>
      </c>
      <c r="C5" s="68">
        <f>B5</f>
        <v>933962507</v>
      </c>
      <c r="D5" s="59"/>
      <c r="E5" s="157"/>
      <c r="F5" s="157"/>
      <c r="G5" s="76"/>
    </row>
    <row r="6" spans="1:7" ht="15.75" customHeight="1" x14ac:dyDescent="0.25">
      <c r="A6" s="3"/>
      <c r="B6" s="80">
        <f>SUM(B4:B5)</f>
        <v>1866661085</v>
      </c>
      <c r="C6" s="80">
        <f>SUM(C4:C5)</f>
        <v>2066525066</v>
      </c>
      <c r="D6" s="60"/>
    </row>
    <row r="7" spans="1:7" ht="15.75" customHeight="1" x14ac:dyDescent="0.25">
      <c r="A7" s="3"/>
      <c r="B7" s="80"/>
      <c r="C7" s="81"/>
      <c r="D7" s="60"/>
    </row>
    <row r="8" spans="1:7" ht="15.75" customHeight="1" x14ac:dyDescent="0.25">
      <c r="A8" s="16"/>
      <c r="B8" s="154" t="s">
        <v>30</v>
      </c>
      <c r="C8" s="155"/>
      <c r="D8" s="155"/>
      <c r="E8" s="158"/>
      <c r="F8" s="155"/>
      <c r="G8" s="156"/>
    </row>
    <row r="9" spans="1:7" ht="15.75" customHeight="1" x14ac:dyDescent="0.25">
      <c r="A9" s="16"/>
      <c r="B9" s="73" t="s">
        <v>31</v>
      </c>
      <c r="C9" s="73" t="s">
        <v>11</v>
      </c>
      <c r="D9" s="7" t="s">
        <v>1</v>
      </c>
      <c r="E9" s="73" t="s">
        <v>2</v>
      </c>
      <c r="F9" s="6" t="s">
        <v>12</v>
      </c>
      <c r="G9" s="73" t="s">
        <v>13</v>
      </c>
    </row>
    <row r="10" spans="1:7" ht="15.75" customHeight="1" x14ac:dyDescent="0.25">
      <c r="A10" s="8" t="s">
        <v>14</v>
      </c>
      <c r="B10" s="17" t="s">
        <v>32</v>
      </c>
      <c r="C10" s="18">
        <v>10.465238219210573</v>
      </c>
      <c r="D10" s="97">
        <f>C10/SUM($C$33:$C$37)*$B$4</f>
        <v>201259037.24901187</v>
      </c>
      <c r="E10" s="69">
        <f>C10/SUM($C$33:$C$37)*$C$4</f>
        <v>244385973.80237159</v>
      </c>
      <c r="F10" s="42">
        <f>E10/SUM(E$10:E$22)*100</f>
        <v>11.8259380359421</v>
      </c>
      <c r="G10" s="18">
        <f t="shared" ref="G10:G22" si="0">F10-C10</f>
        <v>1.3606998167315272</v>
      </c>
    </row>
    <row r="11" spans="1:7" ht="15.75" customHeight="1" x14ac:dyDescent="0.25">
      <c r="A11" s="8" t="s">
        <v>15</v>
      </c>
      <c r="B11" s="17" t="s">
        <v>33</v>
      </c>
      <c r="C11" s="18">
        <v>7.9956760026070803</v>
      </c>
      <c r="D11" s="97">
        <f>C11/SUM($C$33:$C$37)*$B$4</f>
        <v>153766404.61808011</v>
      </c>
      <c r="E11" s="69">
        <f>C11/SUM($C$33:$C$37)*$C$4</f>
        <v>186716348.46481153</v>
      </c>
      <c r="F11" s="42">
        <f t="shared" ref="F11:F22" si="1">E11/SUM(E$10:E$22)*100</f>
        <v>9.0352810878903487</v>
      </c>
      <c r="G11" s="18">
        <f t="shared" si="0"/>
        <v>1.0396050852832683</v>
      </c>
    </row>
    <row r="12" spans="1:7" ht="15.75" customHeight="1" x14ac:dyDescent="0.25">
      <c r="A12" s="8" t="s">
        <v>16</v>
      </c>
      <c r="B12" s="17" t="s">
        <v>34</v>
      </c>
      <c r="C12" s="18">
        <v>6.4072837284905217</v>
      </c>
      <c r="D12" s="97">
        <f>C12/SUM($C$33:$C$37)*$B$4</f>
        <v>123219723.00736932</v>
      </c>
      <c r="E12" s="69">
        <f>C12/SUM($C$33:$C$37)*$C$4</f>
        <v>149623949.36609131</v>
      </c>
      <c r="F12" s="42">
        <f t="shared" si="1"/>
        <v>7.2403646018049956</v>
      </c>
      <c r="G12" s="18">
        <f t="shared" si="0"/>
        <v>0.83308087331447389</v>
      </c>
    </row>
    <row r="13" spans="1:7" ht="15.75" customHeight="1" x14ac:dyDescent="0.25">
      <c r="A13" s="8" t="s">
        <v>17</v>
      </c>
      <c r="B13" s="17" t="s">
        <v>35</v>
      </c>
      <c r="C13" s="18">
        <v>8.7060078078272163</v>
      </c>
      <c r="D13" s="97">
        <f>C13/SUM($C$33:$C$37)*$B$4</f>
        <v>167426934.10163555</v>
      </c>
      <c r="E13" s="69">
        <f>C13/SUM($C$33:$C$37)*$C$4</f>
        <v>203304134.26627171</v>
      </c>
      <c r="F13" s="42">
        <f t="shared" si="1"/>
        <v>9.8379708821916463</v>
      </c>
      <c r="G13" s="18">
        <f t="shared" si="0"/>
        <v>1.13196307436443</v>
      </c>
    </row>
    <row r="14" spans="1:7" ht="15.75" customHeight="1" x14ac:dyDescent="0.25">
      <c r="A14" s="8" t="s">
        <v>18</v>
      </c>
      <c r="B14" s="17" t="s">
        <v>36</v>
      </c>
      <c r="C14" s="18">
        <v>14.92504644395113</v>
      </c>
      <c r="D14" s="97">
        <f>C14/SUM($C$33:$C$37)*$B$4</f>
        <v>287026479.02390313</v>
      </c>
      <c r="E14" s="69">
        <f>C14/SUM($C$33:$C$37)*$C$4</f>
        <v>348532153.10045385</v>
      </c>
      <c r="F14" s="42">
        <f t="shared" si="1"/>
        <v>16.865614593055888</v>
      </c>
      <c r="G14" s="18">
        <f t="shared" si="0"/>
        <v>1.9405681491047577</v>
      </c>
    </row>
    <row r="15" spans="1:7" ht="15.75" customHeight="1" x14ac:dyDescent="0.25">
      <c r="A15" s="9" t="s">
        <v>19</v>
      </c>
      <c r="B15" s="5" t="s">
        <v>37</v>
      </c>
      <c r="C15" s="20">
        <v>4.2240674475306816</v>
      </c>
      <c r="D15" s="64">
        <f t="shared" ref="D15:D22" si="2">C15/SUM(C$38:C$45)*$B$5</f>
        <v>76603171.637687936</v>
      </c>
      <c r="E15" s="21">
        <f t="shared" ref="E15:E22" si="3">C15/SUM(C$38:C$45)*$C$5</f>
        <v>76603171.637687936</v>
      </c>
      <c r="F15" s="43">
        <f t="shared" si="1"/>
        <v>3.7068590600723899</v>
      </c>
      <c r="G15" s="20">
        <f t="shared" si="0"/>
        <v>-0.51720838745829179</v>
      </c>
    </row>
    <row r="16" spans="1:7" ht="15.75" customHeight="1" x14ac:dyDescent="0.25">
      <c r="A16" s="9" t="s">
        <v>20</v>
      </c>
      <c r="B16" s="5" t="s">
        <v>38</v>
      </c>
      <c r="C16" s="20">
        <v>5.4564859656043447</v>
      </c>
      <c r="D16" s="64">
        <f t="shared" si="2"/>
        <v>98952996.407803923</v>
      </c>
      <c r="E16" s="21">
        <f t="shared" si="3"/>
        <v>98952996.407803923</v>
      </c>
      <c r="F16" s="43">
        <f t="shared" si="1"/>
        <v>4.7883762958336131</v>
      </c>
      <c r="G16" s="20">
        <f t="shared" si="0"/>
        <v>-0.66810966977073161</v>
      </c>
    </row>
    <row r="17" spans="1:7" ht="15.75" customHeight="1" x14ac:dyDescent="0.25">
      <c r="A17" s="9" t="s">
        <v>21</v>
      </c>
      <c r="B17" s="5" t="s">
        <v>39</v>
      </c>
      <c r="C17" s="20">
        <v>5.3362529867713242</v>
      </c>
      <c r="D17" s="64">
        <f t="shared" si="2"/>
        <v>96772579.634525239</v>
      </c>
      <c r="E17" s="21">
        <f t="shared" si="3"/>
        <v>96772579.634525239</v>
      </c>
      <c r="F17" s="43">
        <f t="shared" si="1"/>
        <v>4.6828650291593048</v>
      </c>
      <c r="G17" s="20">
        <f t="shared" si="0"/>
        <v>-0.6533879576120194</v>
      </c>
    </row>
    <row r="18" spans="1:7" ht="15.75" customHeight="1" x14ac:dyDescent="0.25">
      <c r="A18" s="9" t="s">
        <v>22</v>
      </c>
      <c r="B18" s="5" t="s">
        <v>40</v>
      </c>
      <c r="C18" s="20">
        <v>11.723294651888335</v>
      </c>
      <c r="D18" s="64">
        <f t="shared" si="2"/>
        <v>212601139.43085143</v>
      </c>
      <c r="E18" s="21">
        <f t="shared" si="3"/>
        <v>212601139.43085143</v>
      </c>
      <c r="F18" s="43">
        <f t="shared" si="1"/>
        <v>10.287856795386746</v>
      </c>
      <c r="G18" s="20">
        <f t="shared" si="0"/>
        <v>-1.4354378565015882</v>
      </c>
    </row>
    <row r="19" spans="1:7" ht="15.75" customHeight="1" x14ac:dyDescent="0.25">
      <c r="A19" s="9" t="s">
        <v>23</v>
      </c>
      <c r="B19" s="5" t="s">
        <v>41</v>
      </c>
      <c r="C19" s="20">
        <v>5.4106059876267345</v>
      </c>
      <c r="D19" s="64">
        <f t="shared" si="2"/>
        <v>98120966.17357868</v>
      </c>
      <c r="E19" s="21">
        <f t="shared" si="3"/>
        <v>98120966.17357868</v>
      </c>
      <c r="F19" s="43">
        <f t="shared" si="1"/>
        <v>4.7481140097421246</v>
      </c>
      <c r="G19" s="20">
        <f t="shared" si="0"/>
        <v>-0.66249197788460989</v>
      </c>
    </row>
    <row r="20" spans="1:7" ht="15.75" customHeight="1" x14ac:dyDescent="0.25">
      <c r="A20" s="9" t="s">
        <v>24</v>
      </c>
      <c r="B20" s="5" t="s">
        <v>42</v>
      </c>
      <c r="C20" s="20">
        <v>5.8345918572032183</v>
      </c>
      <c r="D20" s="64">
        <f t="shared" si="2"/>
        <v>105809920.65703708</v>
      </c>
      <c r="E20" s="21">
        <f t="shared" si="3"/>
        <v>105809920.65703708</v>
      </c>
      <c r="F20" s="43">
        <f t="shared" si="1"/>
        <v>5.120185687456698</v>
      </c>
      <c r="G20" s="20">
        <f t="shared" si="0"/>
        <v>-0.71440616974652027</v>
      </c>
    </row>
    <row r="21" spans="1:7" ht="15.75" customHeight="1" x14ac:dyDescent="0.25">
      <c r="A21" s="9" t="s">
        <v>25</v>
      </c>
      <c r="B21" s="5" t="s">
        <v>43</v>
      </c>
      <c r="C21" s="20">
        <v>7.7378030898412282</v>
      </c>
      <c r="D21" s="64">
        <f t="shared" si="2"/>
        <v>140324525.01113483</v>
      </c>
      <c r="E21" s="21">
        <f t="shared" si="3"/>
        <v>140324525.01113483</v>
      </c>
      <c r="F21" s="43">
        <f t="shared" si="1"/>
        <v>6.7903616229901003</v>
      </c>
      <c r="G21" s="20">
        <f t="shared" si="0"/>
        <v>-0.94744146685112796</v>
      </c>
    </row>
    <row r="22" spans="1:7" ht="15.75" customHeight="1" x14ac:dyDescent="0.25">
      <c r="A22" s="9" t="s">
        <v>26</v>
      </c>
      <c r="B22" s="5" t="s">
        <v>44</v>
      </c>
      <c r="C22" s="20">
        <v>5.777645811447619</v>
      </c>
      <c r="D22" s="64">
        <f t="shared" si="2"/>
        <v>104777208.04738075</v>
      </c>
      <c r="E22" s="21">
        <f t="shared" si="3"/>
        <v>104777208.04738075</v>
      </c>
      <c r="F22" s="43">
        <f t="shared" si="1"/>
        <v>5.070212298474039</v>
      </c>
      <c r="G22" s="20">
        <f t="shared" si="0"/>
        <v>-0.70743351297358004</v>
      </c>
    </row>
    <row r="23" spans="1:7" ht="15.75" customHeight="1" x14ac:dyDescent="0.25">
      <c r="A23" s="22" t="s">
        <v>27</v>
      </c>
      <c r="B23" s="23"/>
      <c r="C23" s="23">
        <f>SUM(C10:C22)</f>
        <v>100</v>
      </c>
      <c r="D23" s="23"/>
      <c r="E23" s="35"/>
      <c r="F23" s="34"/>
      <c r="G23" s="23"/>
    </row>
    <row r="24" spans="1:7" ht="15.75" customHeight="1" x14ac:dyDescent="0.25">
      <c r="D24" s="76"/>
    </row>
    <row r="27" spans="1:7" ht="15.75" customHeight="1" x14ac:dyDescent="0.3">
      <c r="A27" s="1"/>
      <c r="B27" s="66" t="s">
        <v>1</v>
      </c>
      <c r="C27" s="66" t="s">
        <v>2</v>
      </c>
      <c r="D27" s="72"/>
    </row>
    <row r="28" spans="1:7" ht="15.75" customHeight="1" x14ac:dyDescent="0.25">
      <c r="A28" s="67" t="s">
        <v>3</v>
      </c>
      <c r="B28" s="68">
        <f>B4/24.5</f>
        <v>38069329.714285716</v>
      </c>
      <c r="C28" s="68">
        <f>B28/70*85</f>
        <v>46227043.224489793</v>
      </c>
      <c r="D28" s="71" t="s">
        <v>4</v>
      </c>
      <c r="E28" s="157" t="s">
        <v>28</v>
      </c>
      <c r="F28" s="157"/>
    </row>
    <row r="29" spans="1:7" ht="15.75" customHeight="1" x14ac:dyDescent="0.25">
      <c r="A29" s="67" t="s">
        <v>6</v>
      </c>
      <c r="B29" s="68">
        <f>B5/24.5</f>
        <v>38120918.653061226</v>
      </c>
      <c r="C29" s="68">
        <f>B29</f>
        <v>38120918.653061226</v>
      </c>
      <c r="D29" s="59"/>
      <c r="E29" s="157"/>
      <c r="F29" s="157"/>
    </row>
    <row r="30" spans="1:7" ht="15.75" customHeight="1" x14ac:dyDescent="0.25">
      <c r="A30" s="3"/>
      <c r="B30" s="14"/>
      <c r="C30" s="15"/>
      <c r="D30" s="60"/>
    </row>
    <row r="31" spans="1:7" ht="15.75" customHeight="1" x14ac:dyDescent="0.25">
      <c r="A31" s="16"/>
      <c r="B31" s="154" t="s">
        <v>30</v>
      </c>
      <c r="C31" s="155"/>
      <c r="D31" s="155"/>
      <c r="E31" s="155"/>
      <c r="F31" s="155"/>
      <c r="G31" s="156"/>
    </row>
    <row r="32" spans="1:7" ht="15.75" customHeight="1" x14ac:dyDescent="0.25">
      <c r="A32" s="16"/>
      <c r="B32" s="73" t="s">
        <v>31</v>
      </c>
      <c r="C32" s="73" t="s">
        <v>11</v>
      </c>
      <c r="D32" s="73" t="s">
        <v>1</v>
      </c>
      <c r="E32" s="73" t="s">
        <v>2</v>
      </c>
      <c r="F32" s="73" t="s">
        <v>12</v>
      </c>
      <c r="G32" s="73" t="s">
        <v>13</v>
      </c>
    </row>
    <row r="33" spans="1:7" ht="15.75" customHeight="1" x14ac:dyDescent="0.25">
      <c r="A33" s="8" t="s">
        <v>14</v>
      </c>
      <c r="B33" s="17" t="s">
        <v>32</v>
      </c>
      <c r="C33" s="18">
        <v>10.465238219210573</v>
      </c>
      <c r="D33" s="19">
        <f>C33/SUM(C$33:C$37)*$B$28</f>
        <v>8214654.5815923223</v>
      </c>
      <c r="E33" s="19">
        <f>C33/SUM(C$33:C$37)*$C$28</f>
        <v>9974937.7062192466</v>
      </c>
      <c r="F33" s="18">
        <f t="shared" ref="F33:F45" si="4">E33/SUM(E$33:E$45)*100</f>
        <v>11.825938035942098</v>
      </c>
      <c r="G33" s="18">
        <f t="shared" ref="G33:G45" si="5">F33-C33</f>
        <v>1.3606998167315254</v>
      </c>
    </row>
    <row r="34" spans="1:7" ht="15.75" customHeight="1" x14ac:dyDescent="0.25">
      <c r="A34" s="8" t="s">
        <v>15</v>
      </c>
      <c r="B34" s="17" t="s">
        <v>33</v>
      </c>
      <c r="C34" s="18">
        <v>7.9956760026070803</v>
      </c>
      <c r="D34" s="19">
        <f>C34/SUM(C$33:C$37)*$B$28</f>
        <v>6276179.7803298002</v>
      </c>
      <c r="E34" s="19">
        <f>C34/SUM(C$33:C$37)*$C$28</f>
        <v>7621075.4475433277</v>
      </c>
      <c r="F34" s="18">
        <f t="shared" si="4"/>
        <v>9.0352810878903487</v>
      </c>
      <c r="G34" s="18">
        <f t="shared" si="5"/>
        <v>1.0396050852832683</v>
      </c>
    </row>
    <row r="35" spans="1:7" ht="15.75" customHeight="1" x14ac:dyDescent="0.25">
      <c r="A35" s="8" t="s">
        <v>16</v>
      </c>
      <c r="B35" s="17" t="s">
        <v>34</v>
      </c>
      <c r="C35" s="18">
        <v>6.4072837284905217</v>
      </c>
      <c r="D35" s="19">
        <f>C35/SUM(C$33:C$37)*$B$28</f>
        <v>5029376.4492803812</v>
      </c>
      <c r="E35" s="19">
        <f>C35/SUM(C$33:C$37)*$C$28</f>
        <v>6107099.974126176</v>
      </c>
      <c r="F35" s="18">
        <f t="shared" si="4"/>
        <v>7.2403646018049956</v>
      </c>
      <c r="G35" s="18">
        <f t="shared" si="5"/>
        <v>0.83308087331447389</v>
      </c>
    </row>
    <row r="36" spans="1:7" ht="15.75" customHeight="1" x14ac:dyDescent="0.25">
      <c r="A36" s="8" t="s">
        <v>17</v>
      </c>
      <c r="B36" s="17" t="s">
        <v>35</v>
      </c>
      <c r="C36" s="18">
        <v>8.7060078078272163</v>
      </c>
      <c r="D36" s="19">
        <f>C36/SUM(C$33:C$37)*$B$28</f>
        <v>6833752.4123116545</v>
      </c>
      <c r="E36" s="19">
        <f>C36/SUM(C$33:C$37)*$C$28</f>
        <v>8298127.9292355794</v>
      </c>
      <c r="F36" s="18">
        <f t="shared" si="4"/>
        <v>9.8379708821916463</v>
      </c>
      <c r="G36" s="18">
        <f t="shared" si="5"/>
        <v>1.13196307436443</v>
      </c>
    </row>
    <row r="37" spans="1:7" ht="15.75" customHeight="1" x14ac:dyDescent="0.25">
      <c r="A37" s="8" t="s">
        <v>18</v>
      </c>
      <c r="B37" s="17" t="s">
        <v>36</v>
      </c>
      <c r="C37" s="18">
        <v>14.92504644395113</v>
      </c>
      <c r="D37" s="19">
        <f>C37/SUM(C$33:C$37)*$B$28</f>
        <v>11715366.490771558</v>
      </c>
      <c r="E37" s="19">
        <f>C37/SUM(C$33:C$37)*$C$28</f>
        <v>14225802.167365462</v>
      </c>
      <c r="F37" s="18">
        <f t="shared" si="4"/>
        <v>16.865614593055888</v>
      </c>
      <c r="G37" s="18">
        <f t="shared" si="5"/>
        <v>1.9405681491047577</v>
      </c>
    </row>
    <row r="38" spans="1:7" ht="15.75" customHeight="1" x14ac:dyDescent="0.25">
      <c r="A38" s="9" t="s">
        <v>19</v>
      </c>
      <c r="B38" s="5" t="s">
        <v>37</v>
      </c>
      <c r="C38" s="20">
        <v>4.2240674475306816</v>
      </c>
      <c r="D38" s="21">
        <f t="shared" ref="D38:D45" si="6">C38/SUM(C$38:C$45)*$B$29</f>
        <v>3126660.0668444061</v>
      </c>
      <c r="E38" s="21">
        <f t="shared" ref="E38:E45" si="7">C38/SUM(C$38:C$45)*$C$29</f>
        <v>3126660.0668444061</v>
      </c>
      <c r="F38" s="20">
        <f t="shared" si="4"/>
        <v>3.7068590600723907</v>
      </c>
      <c r="G38" s="20">
        <f t="shared" si="5"/>
        <v>-0.5172083874582909</v>
      </c>
    </row>
    <row r="39" spans="1:7" ht="15.75" customHeight="1" x14ac:dyDescent="0.25">
      <c r="A39" s="9" t="s">
        <v>20</v>
      </c>
      <c r="B39" s="5" t="s">
        <v>38</v>
      </c>
      <c r="C39" s="20">
        <v>5.4564859656043447</v>
      </c>
      <c r="D39" s="21">
        <f t="shared" si="6"/>
        <v>4038897.8125634259</v>
      </c>
      <c r="E39" s="21">
        <f t="shared" si="7"/>
        <v>4038897.8125634259</v>
      </c>
      <c r="F39" s="20">
        <f t="shared" si="4"/>
        <v>4.788376295833614</v>
      </c>
      <c r="G39" s="20">
        <f t="shared" si="5"/>
        <v>-0.66810966977073072</v>
      </c>
    </row>
    <row r="40" spans="1:7" ht="15.75" customHeight="1" x14ac:dyDescent="0.25">
      <c r="A40" s="9" t="s">
        <v>21</v>
      </c>
      <c r="B40" s="5" t="s">
        <v>39</v>
      </c>
      <c r="C40" s="20">
        <v>5.3362529867713242</v>
      </c>
      <c r="D40" s="21">
        <f t="shared" si="6"/>
        <v>3949901.2095724586</v>
      </c>
      <c r="E40" s="21">
        <f t="shared" si="7"/>
        <v>3949901.2095724586</v>
      </c>
      <c r="F40" s="20">
        <f t="shared" si="4"/>
        <v>4.6828650291593048</v>
      </c>
      <c r="G40" s="20">
        <f t="shared" si="5"/>
        <v>-0.6533879576120194</v>
      </c>
    </row>
    <row r="41" spans="1:7" ht="15.75" customHeight="1" x14ac:dyDescent="0.25">
      <c r="A41" s="9" t="s">
        <v>22</v>
      </c>
      <c r="B41" s="5" t="s">
        <v>40</v>
      </c>
      <c r="C41" s="20">
        <v>11.723294651888335</v>
      </c>
      <c r="D41" s="21">
        <f t="shared" si="6"/>
        <v>8677597.5277898554</v>
      </c>
      <c r="E41" s="21">
        <f t="shared" si="7"/>
        <v>8677597.5277898554</v>
      </c>
      <c r="F41" s="20">
        <f t="shared" si="4"/>
        <v>10.287856795386748</v>
      </c>
      <c r="G41" s="20">
        <f t="shared" si="5"/>
        <v>-1.4354378565015864</v>
      </c>
    </row>
    <row r="42" spans="1:7" ht="15.75" customHeight="1" x14ac:dyDescent="0.25">
      <c r="A42" s="9" t="s">
        <v>23</v>
      </c>
      <c r="B42" s="5" t="s">
        <v>41</v>
      </c>
      <c r="C42" s="20">
        <v>5.4106059876267345</v>
      </c>
      <c r="D42" s="21">
        <f t="shared" si="6"/>
        <v>4004937.3948399462</v>
      </c>
      <c r="E42" s="21">
        <f t="shared" si="7"/>
        <v>4004937.3948399462</v>
      </c>
      <c r="F42" s="20">
        <f t="shared" si="4"/>
        <v>4.7481140097421246</v>
      </c>
      <c r="G42" s="20">
        <f t="shared" si="5"/>
        <v>-0.66249197788460989</v>
      </c>
    </row>
    <row r="43" spans="1:7" ht="15.75" customHeight="1" x14ac:dyDescent="0.25">
      <c r="A43" s="9" t="s">
        <v>24</v>
      </c>
      <c r="B43" s="5" t="s">
        <v>42</v>
      </c>
      <c r="C43" s="20">
        <v>5.8345918572032183</v>
      </c>
      <c r="D43" s="21">
        <f t="shared" si="6"/>
        <v>4318772.2717157993</v>
      </c>
      <c r="E43" s="21">
        <f t="shared" si="7"/>
        <v>4318772.2717157993</v>
      </c>
      <c r="F43" s="20">
        <f t="shared" si="4"/>
        <v>5.120185687456698</v>
      </c>
      <c r="G43" s="20">
        <f t="shared" si="5"/>
        <v>-0.71440616974652027</v>
      </c>
    </row>
    <row r="44" spans="1:7" ht="15.75" customHeight="1" x14ac:dyDescent="0.25">
      <c r="A44" s="9" t="s">
        <v>25</v>
      </c>
      <c r="B44" s="5" t="s">
        <v>43</v>
      </c>
      <c r="C44" s="20">
        <v>7.7378030898412282</v>
      </c>
      <c r="D44" s="21">
        <f t="shared" si="6"/>
        <v>5727531.6331075449</v>
      </c>
      <c r="E44" s="21">
        <f t="shared" si="7"/>
        <v>5727531.6331075449</v>
      </c>
      <c r="F44" s="20">
        <f t="shared" si="4"/>
        <v>6.7903616229901003</v>
      </c>
      <c r="G44" s="20">
        <f t="shared" si="5"/>
        <v>-0.94744146685112796</v>
      </c>
    </row>
    <row r="45" spans="1:7" ht="15.75" customHeight="1" x14ac:dyDescent="0.25">
      <c r="A45" s="9" t="s">
        <v>26</v>
      </c>
      <c r="B45" s="5" t="s">
        <v>44</v>
      </c>
      <c r="C45" s="20">
        <v>5.777645811447619</v>
      </c>
      <c r="D45" s="21">
        <f t="shared" si="6"/>
        <v>4276620.7366277855</v>
      </c>
      <c r="E45" s="21">
        <f t="shared" si="7"/>
        <v>4276620.7366277855</v>
      </c>
      <c r="F45" s="20">
        <f t="shared" si="4"/>
        <v>5.070212298474039</v>
      </c>
      <c r="G45" s="20">
        <f t="shared" si="5"/>
        <v>-0.70743351297358004</v>
      </c>
    </row>
    <row r="46" spans="1:7" ht="15.75" customHeight="1" x14ac:dyDescent="0.25">
      <c r="A46" s="22" t="s">
        <v>27</v>
      </c>
      <c r="B46" s="23"/>
      <c r="C46" s="23">
        <f>SUM(C33:C45)</f>
        <v>100</v>
      </c>
      <c r="D46" s="23"/>
      <c r="E46" s="23"/>
      <c r="F46" s="34"/>
      <c r="G46" s="23"/>
    </row>
  </sheetData>
  <mergeCells count="4">
    <mergeCell ref="B31:G31"/>
    <mergeCell ref="E28:F29"/>
    <mergeCell ref="E4:F5"/>
    <mergeCell ref="B8:G8"/>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22C7D-9EEB-46B3-8161-BF6CEF423F0D}">
  <dimension ref="A1:I69"/>
  <sheetViews>
    <sheetView topLeftCell="A19" workbookViewId="0">
      <selection activeCell="H54" sqref="H54"/>
    </sheetView>
  </sheetViews>
  <sheetFormatPr defaultColWidth="9.140625" defaultRowHeight="15.75" customHeight="1" outlineLevelRow="1" x14ac:dyDescent="0.25"/>
  <cols>
    <col min="1" max="1" width="27.85546875" style="2" customWidth="1"/>
    <col min="2" max="2" width="15.140625" style="2" customWidth="1"/>
    <col min="3" max="3" width="14.85546875" style="2" customWidth="1"/>
    <col min="4" max="4" width="16.42578125" style="2" bestFit="1" customWidth="1"/>
    <col min="5" max="5" width="15.28515625" style="2" bestFit="1" customWidth="1"/>
    <col min="6" max="6" width="15" style="2" bestFit="1" customWidth="1"/>
    <col min="7" max="7" width="6.85546875" style="2" customWidth="1"/>
    <col min="8" max="9" width="17.5703125" style="2" bestFit="1" customWidth="1"/>
    <col min="10" max="16384" width="9.140625" style="2"/>
  </cols>
  <sheetData>
    <row r="1" spans="1:7" ht="15.75" customHeight="1" x14ac:dyDescent="0.3">
      <c r="A1" s="1" t="s">
        <v>86</v>
      </c>
    </row>
    <row r="3" spans="1:7" ht="15.75" customHeight="1" x14ac:dyDescent="0.3">
      <c r="A3" s="1"/>
      <c r="B3" s="66" t="s">
        <v>1</v>
      </c>
      <c r="C3" s="66" t="s">
        <v>2</v>
      </c>
    </row>
    <row r="4" spans="1:7" ht="15.75" customHeight="1" x14ac:dyDescent="0.25">
      <c r="A4" s="67" t="s">
        <v>3</v>
      </c>
      <c r="B4" s="68">
        <v>932698578</v>
      </c>
      <c r="C4" s="68">
        <f>B4/70*85</f>
        <v>1132562559</v>
      </c>
      <c r="D4" s="71" t="s">
        <v>4</v>
      </c>
      <c r="E4" s="157" t="s">
        <v>5</v>
      </c>
      <c r="F4" s="157"/>
      <c r="G4" s="76"/>
    </row>
    <row r="5" spans="1:7" ht="15.75" customHeight="1" x14ac:dyDescent="0.25">
      <c r="A5" s="67" t="s">
        <v>6</v>
      </c>
      <c r="B5" s="68">
        <f>933962507+204000000</f>
        <v>1137962507</v>
      </c>
      <c r="C5" s="68">
        <f>B5</f>
        <v>1137962507</v>
      </c>
      <c r="D5" s="59"/>
      <c r="E5" s="157"/>
      <c r="F5" s="157"/>
      <c r="G5" s="76"/>
    </row>
    <row r="6" spans="1:7" ht="15.75" customHeight="1" x14ac:dyDescent="0.25">
      <c r="A6" s="3"/>
      <c r="B6" s="80">
        <f>SUM(B4:B5)</f>
        <v>2070661085</v>
      </c>
      <c r="C6" s="80">
        <f>SUM(C4:C5)</f>
        <v>2270525066</v>
      </c>
      <c r="D6" s="60"/>
    </row>
    <row r="7" spans="1:7" ht="15.75" customHeight="1" x14ac:dyDescent="0.25">
      <c r="A7" s="3"/>
      <c r="B7" s="80"/>
      <c r="C7" s="81"/>
      <c r="D7" s="60"/>
    </row>
    <row r="8" spans="1:7" ht="15.75" customHeight="1" x14ac:dyDescent="0.25">
      <c r="A8" s="16"/>
      <c r="B8" s="154" t="s">
        <v>87</v>
      </c>
      <c r="C8" s="155"/>
      <c r="D8" s="155"/>
      <c r="E8" s="158"/>
      <c r="F8" s="155"/>
      <c r="G8" s="156"/>
    </row>
    <row r="9" spans="1:7" ht="15.75" customHeight="1" x14ac:dyDescent="0.25">
      <c r="A9" s="16"/>
      <c r="B9" s="130" t="s">
        <v>31</v>
      </c>
      <c r="C9" s="130" t="s">
        <v>11</v>
      </c>
      <c r="D9" s="7" t="s">
        <v>1</v>
      </c>
      <c r="E9" s="130" t="s">
        <v>2</v>
      </c>
      <c r="F9" s="6" t="s">
        <v>12</v>
      </c>
      <c r="G9" s="130" t="s">
        <v>13</v>
      </c>
    </row>
    <row r="10" spans="1:7" ht="15.75" customHeight="1" x14ac:dyDescent="0.25">
      <c r="A10" s="8" t="s">
        <v>14</v>
      </c>
      <c r="B10" s="17" t="s">
        <v>32</v>
      </c>
      <c r="C10" s="18">
        <v>9.7195547213098106</v>
      </c>
      <c r="D10" s="97">
        <f>C10/SUM($C$33:$C$37)*$B$4</f>
        <v>201259037.24901187</v>
      </c>
      <c r="E10" s="69">
        <f>C10/SUM($C$33:$C$37)*$C$4</f>
        <v>244385973.80237159</v>
      </c>
      <c r="F10" s="42">
        <f>E10/SUM(E$10:E$22)*100</f>
        <v>10.763412281235373</v>
      </c>
      <c r="G10" s="18">
        <f t="shared" ref="G10:G22" si="0">F10-C10</f>
        <v>1.0438575599255628</v>
      </c>
    </row>
    <row r="11" spans="1:7" ht="15.75" customHeight="1" x14ac:dyDescent="0.25">
      <c r="A11" s="8" t="s">
        <v>15</v>
      </c>
      <c r="B11" s="17" t="s">
        <v>33</v>
      </c>
      <c r="C11" s="18">
        <v>7.425957136699127</v>
      </c>
      <c r="D11" s="97">
        <f>C11/SUM($C$33:$C$37)*$B$4</f>
        <v>153766404.61808011</v>
      </c>
      <c r="E11" s="69">
        <f>C11/SUM($C$33:$C$37)*$C$4</f>
        <v>186716348.46481159</v>
      </c>
      <c r="F11" s="42">
        <f t="shared" ref="F11:F22" si="1">E11/SUM(E$10:E$22)*100</f>
        <v>8.2234876531775587</v>
      </c>
      <c r="G11" s="18">
        <f t="shared" si="0"/>
        <v>0.79753051647843165</v>
      </c>
    </row>
    <row r="12" spans="1:7" ht="15.75" customHeight="1" x14ac:dyDescent="0.25">
      <c r="A12" s="8" t="s">
        <v>16</v>
      </c>
      <c r="B12" s="17" t="s">
        <v>34</v>
      </c>
      <c r="C12" s="18">
        <v>5.9507431660470376</v>
      </c>
      <c r="D12" s="97">
        <f>C12/SUM($C$33:$C$37)*$B$4</f>
        <v>123219723.00736932</v>
      </c>
      <c r="E12" s="69">
        <f>C12/SUM($C$33:$C$37)*$C$4</f>
        <v>149623949.36609131</v>
      </c>
      <c r="F12" s="42">
        <f t="shared" si="1"/>
        <v>6.5898391348607701</v>
      </c>
      <c r="G12" s="18">
        <f t="shared" si="0"/>
        <v>0.63909596881373254</v>
      </c>
    </row>
    <row r="13" spans="1:7" ht="15.75" customHeight="1" x14ac:dyDescent="0.25">
      <c r="A13" s="8" t="s">
        <v>17</v>
      </c>
      <c r="B13" s="17" t="s">
        <v>35</v>
      </c>
      <c r="C13" s="18">
        <v>8.0856754065088232</v>
      </c>
      <c r="D13" s="97">
        <f>C13/SUM($C$33:$C$37)*$B$4</f>
        <v>167426934.10163555</v>
      </c>
      <c r="E13" s="69">
        <f>C13/SUM($C$33:$C$37)*$C$4</f>
        <v>203304134.26627174</v>
      </c>
      <c r="F13" s="42">
        <f t="shared" si="1"/>
        <v>8.9540581300180957</v>
      </c>
      <c r="G13" s="18">
        <f t="shared" si="0"/>
        <v>0.86838272350927248</v>
      </c>
    </row>
    <row r="14" spans="1:7" ht="15.75" customHeight="1" x14ac:dyDescent="0.25">
      <c r="A14" s="8" t="s">
        <v>18</v>
      </c>
      <c r="B14" s="17" t="s">
        <v>36</v>
      </c>
      <c r="C14" s="18">
        <v>13.861586577530973</v>
      </c>
      <c r="D14" s="97">
        <f>C14/SUM($C$33:$C$37)*$B$4</f>
        <v>287026479.02390313</v>
      </c>
      <c r="E14" s="69">
        <f>C14/SUM($C$33:$C$37)*$C$4</f>
        <v>348532153.10045385</v>
      </c>
      <c r="F14" s="42">
        <f t="shared" si="1"/>
        <v>15.350288720417671</v>
      </c>
      <c r="G14" s="18">
        <f t="shared" si="0"/>
        <v>1.488702142886698</v>
      </c>
    </row>
    <row r="15" spans="1:7" ht="15.75" customHeight="1" x14ac:dyDescent="0.25">
      <c r="A15" s="9" t="s">
        <v>19</v>
      </c>
      <c r="B15" s="5" t="s">
        <v>37</v>
      </c>
      <c r="C15" s="132">
        <v>3.6994548355967112</v>
      </c>
      <c r="D15" s="64">
        <f t="shared" ref="D15:D22" si="2">C15/SUM(C$38:C$45)*$B$5</f>
        <v>76603171.637986153</v>
      </c>
      <c r="E15" s="21">
        <f t="shared" ref="E15:E22" si="3">C15/SUM(C$38:C$45)*$C$5</f>
        <v>76603171.637986153</v>
      </c>
      <c r="F15" s="43">
        <f t="shared" si="1"/>
        <v>3.3738086747017726</v>
      </c>
      <c r="G15" s="20">
        <f t="shared" si="0"/>
        <v>-0.32564616089493859</v>
      </c>
    </row>
    <row r="16" spans="1:7" ht="15.75" customHeight="1" x14ac:dyDescent="0.25">
      <c r="A16" s="9" t="s">
        <v>20</v>
      </c>
      <c r="B16" s="5" t="s">
        <v>38</v>
      </c>
      <c r="C16" s="132">
        <v>4.7788118067624588</v>
      </c>
      <c r="D16" s="64">
        <f t="shared" si="2"/>
        <v>98952996.408189163</v>
      </c>
      <c r="E16" s="21">
        <f t="shared" si="3"/>
        <v>98952996.408189163</v>
      </c>
      <c r="F16" s="43">
        <f t="shared" si="1"/>
        <v>4.358154767369089</v>
      </c>
      <c r="G16" s="20">
        <f t="shared" si="0"/>
        <v>-0.42065703939336974</v>
      </c>
    </row>
    <row r="17" spans="1:9" ht="15.75" customHeight="1" x14ac:dyDescent="0.25">
      <c r="A17" s="9" t="s">
        <v>21</v>
      </c>
      <c r="B17" s="5" t="s">
        <v>39</v>
      </c>
      <c r="C17" s="132">
        <v>4.6735112923963742</v>
      </c>
      <c r="D17" s="64">
        <f t="shared" si="2"/>
        <v>96772579.634901986</v>
      </c>
      <c r="E17" s="21">
        <f t="shared" si="3"/>
        <v>96772579.634901986</v>
      </c>
      <c r="F17" s="43">
        <f t="shared" si="1"/>
        <v>4.2621233777166321</v>
      </c>
      <c r="G17" s="20">
        <f t="shared" si="0"/>
        <v>-0.41138791467974212</v>
      </c>
    </row>
    <row r="18" spans="1:9" ht="15.75" customHeight="1" x14ac:dyDescent="0.25">
      <c r="A18" s="9" t="s">
        <v>22</v>
      </c>
      <c r="B18" s="5" t="s">
        <v>40</v>
      </c>
      <c r="C18" s="132">
        <v>17.008156175434834</v>
      </c>
      <c r="D18" s="64">
        <f t="shared" si="2"/>
        <v>352181271.20137101</v>
      </c>
      <c r="E18" s="21">
        <f t="shared" si="3"/>
        <v>352181271.20137101</v>
      </c>
      <c r="F18" s="43">
        <f t="shared" si="1"/>
        <v>15.511005646892558</v>
      </c>
      <c r="G18" s="20">
        <f t="shared" si="0"/>
        <v>-1.4971505285422761</v>
      </c>
      <c r="I18" s="131"/>
    </row>
    <row r="19" spans="1:9" ht="15.75" customHeight="1" x14ac:dyDescent="0.25">
      <c r="A19" s="9" t="s">
        <v>23</v>
      </c>
      <c r="B19" s="5" t="s">
        <v>41</v>
      </c>
      <c r="C19" s="132">
        <v>7.8497073025520132</v>
      </c>
      <c r="D19" s="64">
        <f t="shared" si="2"/>
        <v>162540834.40063277</v>
      </c>
      <c r="E19" s="21">
        <f t="shared" si="3"/>
        <v>162540834.40063277</v>
      </c>
      <c r="F19" s="43">
        <f t="shared" si="1"/>
        <v>7.1587333183236819</v>
      </c>
      <c r="G19" s="20">
        <f t="shared" si="0"/>
        <v>-0.69097398422833134</v>
      </c>
      <c r="I19" s="131"/>
    </row>
    <row r="20" spans="1:9" ht="15.75" customHeight="1" x14ac:dyDescent="0.25">
      <c r="A20" s="9" t="s">
        <v>24</v>
      </c>
      <c r="B20" s="5" t="s">
        <v>42</v>
      </c>
      <c r="C20" s="132">
        <v>5.109958429400022</v>
      </c>
      <c r="D20" s="64">
        <f t="shared" si="2"/>
        <v>105809920.65744901</v>
      </c>
      <c r="E20" s="21">
        <f t="shared" si="3"/>
        <v>105809920.65744901</v>
      </c>
      <c r="F20" s="43">
        <f t="shared" si="1"/>
        <v>4.6601520609439948</v>
      </c>
      <c r="G20" s="20">
        <f t="shared" si="0"/>
        <v>-0.44980636845602717</v>
      </c>
    </row>
    <row r="21" spans="1:9" ht="15.75" customHeight="1" x14ac:dyDescent="0.25">
      <c r="A21" s="9" t="s">
        <v>25</v>
      </c>
      <c r="B21" s="5" t="s">
        <v>43</v>
      </c>
      <c r="C21" s="132">
        <v>6.7767982905534279</v>
      </c>
      <c r="D21" s="64">
        <f t="shared" si="2"/>
        <v>140324525.01168114</v>
      </c>
      <c r="E21" s="21">
        <f t="shared" si="3"/>
        <v>140324525.01168114</v>
      </c>
      <c r="F21" s="43">
        <f t="shared" si="1"/>
        <v>6.1802676003437318</v>
      </c>
      <c r="G21" s="20">
        <f t="shared" si="0"/>
        <v>-0.59653069020969607</v>
      </c>
    </row>
    <row r="22" spans="1:9" ht="15.75" customHeight="1" x14ac:dyDescent="0.25">
      <c r="A22" s="9" t="s">
        <v>26</v>
      </c>
      <c r="B22" s="5" t="s">
        <v>44</v>
      </c>
      <c r="C22" s="132">
        <v>5.0600848592083771</v>
      </c>
      <c r="D22" s="64">
        <f t="shared" si="2"/>
        <v>104777208.04778865</v>
      </c>
      <c r="E22" s="21">
        <f t="shared" si="3"/>
        <v>104777208.04778865</v>
      </c>
      <c r="F22" s="43">
        <f t="shared" si="1"/>
        <v>4.6146686339990683</v>
      </c>
      <c r="G22" s="20">
        <f t="shared" si="0"/>
        <v>-0.44541622520930879</v>
      </c>
    </row>
    <row r="23" spans="1:9" ht="15.75" customHeight="1" x14ac:dyDescent="0.25">
      <c r="A23" s="22" t="s">
        <v>27</v>
      </c>
      <c r="B23" s="23"/>
      <c r="C23" s="23">
        <f>SUM(C10:C22)</f>
        <v>100</v>
      </c>
      <c r="D23" s="23"/>
      <c r="E23" s="35"/>
      <c r="F23" s="34"/>
      <c r="G23" s="23"/>
    </row>
    <row r="24" spans="1:9" ht="15.75" customHeight="1" x14ac:dyDescent="0.25">
      <c r="D24" s="76"/>
    </row>
    <row r="25" spans="1:9" ht="15.75" customHeight="1" x14ac:dyDescent="0.25">
      <c r="D25" s="76"/>
    </row>
    <row r="26" spans="1:9" ht="15.75" customHeight="1" x14ac:dyDescent="0.25">
      <c r="D26" s="76"/>
    </row>
    <row r="27" spans="1:9" ht="15.75" customHeight="1" x14ac:dyDescent="0.3">
      <c r="A27" s="1"/>
      <c r="B27" s="66" t="s">
        <v>1</v>
      </c>
      <c r="C27" s="66" t="s">
        <v>2</v>
      </c>
      <c r="D27" s="72"/>
      <c r="E27" s="72"/>
      <c r="F27" s="72">
        <f>+E27-D27</f>
        <v>0</v>
      </c>
    </row>
    <row r="28" spans="1:9" ht="15.75" customHeight="1" x14ac:dyDescent="0.25">
      <c r="A28" s="67" t="s">
        <v>3</v>
      </c>
      <c r="B28" s="68">
        <f>B4/24.5</f>
        <v>38069329.714285716</v>
      </c>
      <c r="C28" s="68">
        <f>B28/70*85</f>
        <v>46227043.224489793</v>
      </c>
      <c r="D28" s="71" t="s">
        <v>4</v>
      </c>
      <c r="E28" s="157" t="s">
        <v>28</v>
      </c>
      <c r="F28" s="157"/>
    </row>
    <row r="29" spans="1:9" ht="15.75" customHeight="1" x14ac:dyDescent="0.25">
      <c r="A29" s="67" t="s">
        <v>6</v>
      </c>
      <c r="B29" s="68">
        <f>B5/24.5</f>
        <v>46447449.265306123</v>
      </c>
      <c r="C29" s="68">
        <f>B29</f>
        <v>46447449.265306123</v>
      </c>
      <c r="D29" s="59"/>
      <c r="E29" s="157"/>
      <c r="F29" s="157"/>
    </row>
    <row r="30" spans="1:9" ht="15.75" customHeight="1" x14ac:dyDescent="0.25">
      <c r="A30" s="3"/>
      <c r="B30" s="14"/>
      <c r="C30" s="15"/>
      <c r="D30" s="60"/>
    </row>
    <row r="31" spans="1:9" ht="15.75" customHeight="1" x14ac:dyDescent="0.25">
      <c r="A31" s="16"/>
      <c r="B31" s="154" t="s">
        <v>30</v>
      </c>
      <c r="C31" s="155"/>
      <c r="D31" s="155"/>
      <c r="E31" s="155"/>
      <c r="F31" s="155"/>
      <c r="G31" s="156"/>
    </row>
    <row r="32" spans="1:9" ht="15.75" customHeight="1" x14ac:dyDescent="0.25">
      <c r="A32" s="16"/>
      <c r="B32" s="130" t="s">
        <v>31</v>
      </c>
      <c r="C32" s="130" t="s">
        <v>11</v>
      </c>
      <c r="D32" s="130" t="s">
        <v>1</v>
      </c>
      <c r="E32" s="130" t="s">
        <v>2</v>
      </c>
      <c r="F32" s="130" t="s">
        <v>12</v>
      </c>
      <c r="G32" s="130" t="s">
        <v>13</v>
      </c>
    </row>
    <row r="33" spans="1:7" ht="15.75" customHeight="1" x14ac:dyDescent="0.25">
      <c r="A33" s="8" t="s">
        <v>14</v>
      </c>
      <c r="B33" s="17" t="s">
        <v>32</v>
      </c>
      <c r="C33" s="18">
        <v>9.7195547213098106</v>
      </c>
      <c r="D33" s="19">
        <f>C33/SUM(C$33:C$37)*$B$28</f>
        <v>8214654.5815923223</v>
      </c>
      <c r="E33" s="19">
        <f>C33/SUM(C$33:C$37)*$C$28</f>
        <v>9974937.7062192466</v>
      </c>
      <c r="F33" s="18">
        <f t="shared" ref="F33:F45" si="4">E33/SUM(E$33:E$45)*100</f>
        <v>10.763412281235373</v>
      </c>
      <c r="G33" s="18">
        <f t="shared" ref="G33:G45" si="5">F33-C33</f>
        <v>1.0438575599255628</v>
      </c>
    </row>
    <row r="34" spans="1:7" ht="15.75" customHeight="1" x14ac:dyDescent="0.25">
      <c r="A34" s="8" t="s">
        <v>15</v>
      </c>
      <c r="B34" s="17" t="s">
        <v>33</v>
      </c>
      <c r="C34" s="18">
        <v>7.425957136699127</v>
      </c>
      <c r="D34" s="19">
        <f>C34/SUM(C$33:C$37)*$B$28</f>
        <v>6276179.7803298011</v>
      </c>
      <c r="E34" s="19">
        <f>C34/SUM(C$33:C$37)*$C$28</f>
        <v>7621075.4475433296</v>
      </c>
      <c r="F34" s="18">
        <f t="shared" si="4"/>
        <v>8.2234876531775587</v>
      </c>
      <c r="G34" s="18">
        <f t="shared" si="5"/>
        <v>0.79753051647843165</v>
      </c>
    </row>
    <row r="35" spans="1:7" ht="15.75" customHeight="1" x14ac:dyDescent="0.25">
      <c r="A35" s="8" t="s">
        <v>16</v>
      </c>
      <c r="B35" s="17" t="s">
        <v>34</v>
      </c>
      <c r="C35" s="18">
        <v>5.9507431660470376</v>
      </c>
      <c r="D35" s="19">
        <f>C35/SUM(C$33:C$37)*$B$28</f>
        <v>5029376.4492803812</v>
      </c>
      <c r="E35" s="19">
        <f>C35/SUM(C$33:C$37)*$C$28</f>
        <v>6107099.974126176</v>
      </c>
      <c r="F35" s="18">
        <f t="shared" si="4"/>
        <v>6.5898391348607701</v>
      </c>
      <c r="G35" s="18">
        <f t="shared" si="5"/>
        <v>0.63909596881373254</v>
      </c>
    </row>
    <row r="36" spans="1:7" ht="15.75" customHeight="1" x14ac:dyDescent="0.25">
      <c r="A36" s="8" t="s">
        <v>17</v>
      </c>
      <c r="B36" s="17" t="s">
        <v>35</v>
      </c>
      <c r="C36" s="18">
        <v>8.0856754065088232</v>
      </c>
      <c r="D36" s="19">
        <f>C36/SUM(C$33:C$37)*$B$28</f>
        <v>6833752.4123116555</v>
      </c>
      <c r="E36" s="19">
        <f>C36/SUM(C$33:C$37)*$C$28</f>
        <v>8298127.9292355813</v>
      </c>
      <c r="F36" s="18">
        <f t="shared" si="4"/>
        <v>8.9540581300180975</v>
      </c>
      <c r="G36" s="18">
        <f t="shared" si="5"/>
        <v>0.86838272350927426</v>
      </c>
    </row>
    <row r="37" spans="1:7" ht="15.75" customHeight="1" x14ac:dyDescent="0.25">
      <c r="A37" s="8" t="s">
        <v>18</v>
      </c>
      <c r="B37" s="17" t="s">
        <v>36</v>
      </c>
      <c r="C37" s="18">
        <v>13.861586577530973</v>
      </c>
      <c r="D37" s="19">
        <f>C37/SUM(C$33:C$37)*$B$28</f>
        <v>11715366.490771558</v>
      </c>
      <c r="E37" s="19">
        <f>C37/SUM(C$33:C$37)*$C$28</f>
        <v>14225802.167365462</v>
      </c>
      <c r="F37" s="18">
        <f t="shared" si="4"/>
        <v>15.350288720417671</v>
      </c>
      <c r="G37" s="18">
        <f t="shared" si="5"/>
        <v>1.488702142886698</v>
      </c>
    </row>
    <row r="38" spans="1:7" ht="15.75" customHeight="1" x14ac:dyDescent="0.25">
      <c r="A38" s="9" t="s">
        <v>19</v>
      </c>
      <c r="B38" s="5" t="s">
        <v>37</v>
      </c>
      <c r="C38" s="132">
        <v>3.6994548355967112</v>
      </c>
      <c r="D38" s="21">
        <f t="shared" ref="D38:D45" si="6">C38/SUM(C$38:C$45)*$B$29</f>
        <v>3126660.066856578</v>
      </c>
      <c r="E38" s="21">
        <f t="shared" ref="E38:E45" si="7">C38/SUM(C$38:C$45)*$C$29</f>
        <v>3126660.066856578</v>
      </c>
      <c r="F38" s="20">
        <f t="shared" si="4"/>
        <v>3.3738086747017735</v>
      </c>
      <c r="G38" s="20">
        <f t="shared" si="5"/>
        <v>-0.3256461608949377</v>
      </c>
    </row>
    <row r="39" spans="1:7" ht="15.75" customHeight="1" x14ac:dyDescent="0.25">
      <c r="A39" s="9" t="s">
        <v>20</v>
      </c>
      <c r="B39" s="5" t="s">
        <v>38</v>
      </c>
      <c r="C39" s="132">
        <v>4.7788118067624588</v>
      </c>
      <c r="D39" s="21">
        <f t="shared" si="6"/>
        <v>4038897.8125791494</v>
      </c>
      <c r="E39" s="21">
        <f t="shared" si="7"/>
        <v>4038897.8125791494</v>
      </c>
      <c r="F39" s="20">
        <f t="shared" si="4"/>
        <v>4.3581547673690899</v>
      </c>
      <c r="G39" s="20">
        <f t="shared" si="5"/>
        <v>-0.42065703939336885</v>
      </c>
    </row>
    <row r="40" spans="1:7" ht="15.75" customHeight="1" x14ac:dyDescent="0.25">
      <c r="A40" s="9" t="s">
        <v>21</v>
      </c>
      <c r="B40" s="5" t="s">
        <v>39</v>
      </c>
      <c r="C40" s="132">
        <v>4.6735112923963742</v>
      </c>
      <c r="D40" s="21">
        <f t="shared" si="6"/>
        <v>3949901.2095878362</v>
      </c>
      <c r="E40" s="21">
        <f t="shared" si="7"/>
        <v>3949901.2095878362</v>
      </c>
      <c r="F40" s="20">
        <f t="shared" si="4"/>
        <v>4.262123377716633</v>
      </c>
      <c r="G40" s="20">
        <f t="shared" si="5"/>
        <v>-0.41138791467974123</v>
      </c>
    </row>
    <row r="41" spans="1:7" ht="15.75" customHeight="1" x14ac:dyDescent="0.25">
      <c r="A41" s="9" t="s">
        <v>22</v>
      </c>
      <c r="B41" s="5" t="s">
        <v>40</v>
      </c>
      <c r="C41" s="132">
        <v>17.008156175434834</v>
      </c>
      <c r="D41" s="21">
        <f t="shared" si="6"/>
        <v>14374745.763321267</v>
      </c>
      <c r="E41" s="21">
        <f t="shared" si="7"/>
        <v>14374745.763321267</v>
      </c>
      <c r="F41" s="20">
        <f t="shared" si="4"/>
        <v>15.511005646892562</v>
      </c>
      <c r="G41" s="20">
        <f t="shared" si="5"/>
        <v>-1.4971505285422726</v>
      </c>
    </row>
    <row r="42" spans="1:7" ht="15.75" customHeight="1" x14ac:dyDescent="0.25">
      <c r="A42" s="9" t="s">
        <v>23</v>
      </c>
      <c r="B42" s="5" t="s">
        <v>41</v>
      </c>
      <c r="C42" s="132">
        <v>7.8497073025520132</v>
      </c>
      <c r="D42" s="21">
        <f t="shared" si="6"/>
        <v>6634319.7714543995</v>
      </c>
      <c r="E42" s="21">
        <f t="shared" si="7"/>
        <v>6634319.7714543995</v>
      </c>
      <c r="F42" s="20">
        <f t="shared" si="4"/>
        <v>7.1587333183236828</v>
      </c>
      <c r="G42" s="20">
        <f t="shared" si="5"/>
        <v>-0.69097398422833045</v>
      </c>
    </row>
    <row r="43" spans="1:7" ht="15.75" customHeight="1" x14ac:dyDescent="0.25">
      <c r="A43" s="9" t="s">
        <v>24</v>
      </c>
      <c r="B43" s="5" t="s">
        <v>42</v>
      </c>
      <c r="C43" s="132">
        <v>5.109958429400022</v>
      </c>
      <c r="D43" s="21">
        <f t="shared" si="6"/>
        <v>4318772.2717326125</v>
      </c>
      <c r="E43" s="21">
        <f t="shared" si="7"/>
        <v>4318772.2717326125</v>
      </c>
      <c r="F43" s="20">
        <f t="shared" si="4"/>
        <v>4.6601520609439957</v>
      </c>
      <c r="G43" s="20">
        <f t="shared" si="5"/>
        <v>-0.44980636845602628</v>
      </c>
    </row>
    <row r="44" spans="1:7" ht="15.75" customHeight="1" x14ac:dyDescent="0.25">
      <c r="A44" s="9" t="s">
        <v>25</v>
      </c>
      <c r="B44" s="5" t="s">
        <v>43</v>
      </c>
      <c r="C44" s="132">
        <v>6.7767982905534279</v>
      </c>
      <c r="D44" s="21">
        <f t="shared" si="6"/>
        <v>5727531.6331298426</v>
      </c>
      <c r="E44" s="21">
        <f t="shared" si="7"/>
        <v>5727531.6331298426</v>
      </c>
      <c r="F44" s="20">
        <f t="shared" si="4"/>
        <v>6.1802676003437327</v>
      </c>
      <c r="G44" s="20">
        <f t="shared" si="5"/>
        <v>-0.59653069020969518</v>
      </c>
    </row>
    <row r="45" spans="1:7" ht="15.75" customHeight="1" x14ac:dyDescent="0.25">
      <c r="A45" s="9" t="s">
        <v>26</v>
      </c>
      <c r="B45" s="5" t="s">
        <v>44</v>
      </c>
      <c r="C45" s="132">
        <v>5.0600848592083771</v>
      </c>
      <c r="D45" s="21">
        <f t="shared" si="6"/>
        <v>4276620.7366444347</v>
      </c>
      <c r="E45" s="21">
        <f t="shared" si="7"/>
        <v>4276620.7366444347</v>
      </c>
      <c r="F45" s="20">
        <f t="shared" si="4"/>
        <v>4.6146686339990692</v>
      </c>
      <c r="G45" s="20">
        <f t="shared" si="5"/>
        <v>-0.4454162252093079</v>
      </c>
    </row>
    <row r="46" spans="1:7" ht="15.75" customHeight="1" x14ac:dyDescent="0.25">
      <c r="A46" s="22" t="s">
        <v>27</v>
      </c>
      <c r="B46" s="23"/>
      <c r="C46" s="23">
        <f>SUM(C33:C45)</f>
        <v>100</v>
      </c>
      <c r="D46" s="23"/>
      <c r="E46" s="23"/>
      <c r="F46" s="34"/>
      <c r="G46" s="23"/>
    </row>
    <row r="51" spans="1:8" ht="15.75" customHeight="1" outlineLevel="1" x14ac:dyDescent="0.25"/>
    <row r="52" spans="1:8" ht="15.75" customHeight="1" outlineLevel="1" x14ac:dyDescent="0.25">
      <c r="A52" s="135"/>
      <c r="B52" s="136" t="s">
        <v>31</v>
      </c>
      <c r="C52" s="136" t="s">
        <v>11</v>
      </c>
      <c r="D52" s="136" t="s">
        <v>92</v>
      </c>
    </row>
    <row r="53" spans="1:8" ht="15.75" customHeight="1" outlineLevel="1" x14ac:dyDescent="0.25">
      <c r="A53" s="133" t="s">
        <v>14</v>
      </c>
      <c r="B53" s="5" t="s">
        <v>32</v>
      </c>
      <c r="C53" s="20">
        <v>9.7195547213098106</v>
      </c>
      <c r="D53" s="134">
        <v>201259037.24901187</v>
      </c>
    </row>
    <row r="54" spans="1:8" ht="15.75" customHeight="1" outlineLevel="1" x14ac:dyDescent="0.25">
      <c r="A54" s="133" t="s">
        <v>15</v>
      </c>
      <c r="B54" s="5" t="s">
        <v>33</v>
      </c>
      <c r="C54" s="20">
        <v>7.425957136699127</v>
      </c>
      <c r="D54" s="134">
        <v>153766404.61808011</v>
      </c>
    </row>
    <row r="55" spans="1:8" ht="15.75" customHeight="1" outlineLevel="1" x14ac:dyDescent="0.25">
      <c r="A55" s="133" t="s">
        <v>16</v>
      </c>
      <c r="B55" s="5" t="s">
        <v>34</v>
      </c>
      <c r="C55" s="20">
        <v>5.9507431660470376</v>
      </c>
      <c r="D55" s="134">
        <v>123219723.00736932</v>
      </c>
    </row>
    <row r="56" spans="1:8" ht="15.75" customHeight="1" outlineLevel="1" x14ac:dyDescent="0.25">
      <c r="A56" s="133" t="s">
        <v>17</v>
      </c>
      <c r="B56" s="5" t="s">
        <v>35</v>
      </c>
      <c r="C56" s="20">
        <v>8.0856754065088232</v>
      </c>
      <c r="D56" s="134">
        <v>167426934.10163555</v>
      </c>
    </row>
    <row r="57" spans="1:8" ht="15.75" customHeight="1" outlineLevel="1" x14ac:dyDescent="0.25">
      <c r="A57" s="133" t="s">
        <v>18</v>
      </c>
      <c r="B57" s="5" t="s">
        <v>36</v>
      </c>
      <c r="C57" s="20">
        <v>13.861586577530973</v>
      </c>
      <c r="D57" s="134">
        <v>287026479.02390313</v>
      </c>
    </row>
    <row r="58" spans="1:8" ht="15.75" customHeight="1" outlineLevel="1" x14ac:dyDescent="0.25">
      <c r="A58" s="133" t="s">
        <v>19</v>
      </c>
      <c r="B58" s="5" t="s">
        <v>37</v>
      </c>
      <c r="C58" s="20">
        <v>3.6994548355967112</v>
      </c>
      <c r="D58" s="134">
        <v>76603171.637986153</v>
      </c>
    </row>
    <row r="59" spans="1:8" ht="15.75" customHeight="1" outlineLevel="1" x14ac:dyDescent="0.25">
      <c r="A59" s="133" t="s">
        <v>20</v>
      </c>
      <c r="B59" s="5" t="s">
        <v>38</v>
      </c>
      <c r="C59" s="20">
        <v>4.7788118067624588</v>
      </c>
      <c r="D59" s="134">
        <v>98952996.408189163</v>
      </c>
    </row>
    <row r="60" spans="1:8" ht="15.75" customHeight="1" outlineLevel="1" x14ac:dyDescent="0.25">
      <c r="A60" s="133" t="s">
        <v>21</v>
      </c>
      <c r="B60" s="5" t="s">
        <v>39</v>
      </c>
      <c r="C60" s="20">
        <v>4.6735112923963742</v>
      </c>
      <c r="D60" s="134">
        <v>96772579.634901986</v>
      </c>
    </row>
    <row r="61" spans="1:8" ht="15.75" customHeight="1" outlineLevel="1" x14ac:dyDescent="0.25">
      <c r="A61" s="139" t="s">
        <v>88</v>
      </c>
      <c r="B61" s="140" t="s">
        <v>40</v>
      </c>
      <c r="C61" s="141">
        <v>17.008156175434834</v>
      </c>
      <c r="D61" s="142">
        <v>352181271.20137101</v>
      </c>
      <c r="F61" s="76">
        <f>+'Klíč ZZS_původni'!D18</f>
        <v>212601139.43085143</v>
      </c>
      <c r="H61" s="131">
        <f>+D61-F61</f>
        <v>139580131.77051958</v>
      </c>
    </row>
    <row r="62" spans="1:8" ht="15.75" customHeight="1" outlineLevel="1" x14ac:dyDescent="0.25">
      <c r="A62" s="139" t="s">
        <v>89</v>
      </c>
      <c r="B62" s="140" t="s">
        <v>41</v>
      </c>
      <c r="C62" s="141">
        <v>7.8497073025520132</v>
      </c>
      <c r="D62" s="142">
        <v>162540834.40063277</v>
      </c>
      <c r="F62" s="76">
        <f>+'Klíč ZZS_původni'!D19</f>
        <v>98120966.17357868</v>
      </c>
      <c r="H62" s="131">
        <f>+D62-F62</f>
        <v>64419868.227054089</v>
      </c>
    </row>
    <row r="63" spans="1:8" ht="15.75" customHeight="1" outlineLevel="1" x14ac:dyDescent="0.25">
      <c r="A63" s="133" t="s">
        <v>24</v>
      </c>
      <c r="B63" s="5" t="s">
        <v>42</v>
      </c>
      <c r="C63" s="20">
        <v>5.109958429400022</v>
      </c>
      <c r="D63" s="134">
        <v>105809920.65744901</v>
      </c>
      <c r="H63" s="131">
        <f>SUM(H61:H62)</f>
        <v>203999999.99757367</v>
      </c>
    </row>
    <row r="64" spans="1:8" ht="15.75" customHeight="1" outlineLevel="1" x14ac:dyDescent="0.25">
      <c r="A64" s="133" t="s">
        <v>25</v>
      </c>
      <c r="B64" s="5" t="s">
        <v>43</v>
      </c>
      <c r="C64" s="20">
        <v>6.7767982905534279</v>
      </c>
      <c r="D64" s="134">
        <v>140324525.01168114</v>
      </c>
    </row>
    <row r="65" spans="1:4" ht="15.75" customHeight="1" outlineLevel="1" x14ac:dyDescent="0.25">
      <c r="A65" s="133" t="s">
        <v>26</v>
      </c>
      <c r="B65" s="5" t="s">
        <v>44</v>
      </c>
      <c r="C65" s="20">
        <v>5.0600848592083771</v>
      </c>
      <c r="D65" s="134">
        <v>104777208.04778865</v>
      </c>
    </row>
    <row r="66" spans="1:4" ht="31.5" customHeight="1" outlineLevel="1" x14ac:dyDescent="0.25">
      <c r="A66" s="144" t="s">
        <v>90</v>
      </c>
      <c r="B66" s="143" t="s">
        <v>93</v>
      </c>
      <c r="C66" s="143">
        <v>8.43</v>
      </c>
      <c r="D66" s="145">
        <v>174475164.71159601</v>
      </c>
    </row>
    <row r="67" spans="1:4" ht="31.5" customHeight="1" outlineLevel="1" x14ac:dyDescent="0.25">
      <c r="A67" s="144" t="s">
        <v>91</v>
      </c>
      <c r="B67" s="143" t="s">
        <v>93</v>
      </c>
      <c r="C67" s="143">
        <v>3.89</v>
      </c>
      <c r="D67" s="145">
        <v>80524835.288403004</v>
      </c>
    </row>
    <row r="68" spans="1:4" ht="15.75" customHeight="1" outlineLevel="1" x14ac:dyDescent="0.25">
      <c r="A68" s="133" t="s">
        <v>27</v>
      </c>
      <c r="B68" s="5"/>
      <c r="C68" s="20">
        <v>100</v>
      </c>
      <c r="D68" s="134">
        <f>SUM(D53:D65)</f>
        <v>2070661084.9999998</v>
      </c>
    </row>
    <row r="69" spans="1:4" ht="15.75" customHeight="1" outlineLevel="1" x14ac:dyDescent="0.25"/>
  </sheetData>
  <mergeCells count="4">
    <mergeCell ref="E4:F5"/>
    <mergeCell ref="B8:G8"/>
    <mergeCell ref="E28:F29"/>
    <mergeCell ref="B31:G3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B9727-8958-40B4-AE8D-D558F286E25B}">
  <dimension ref="A1:L69"/>
  <sheetViews>
    <sheetView tabSelected="1" zoomScale="85" zoomScaleNormal="85" workbookViewId="0">
      <selection activeCell="E34" sqref="E34"/>
    </sheetView>
  </sheetViews>
  <sheetFormatPr defaultRowHeight="12.75" x14ac:dyDescent="0.2"/>
  <cols>
    <col min="1" max="1" width="27.85546875" customWidth="1"/>
    <col min="2" max="2" width="15.140625" customWidth="1"/>
    <col min="3" max="3" width="14.85546875" customWidth="1"/>
    <col min="4" max="4" width="16.42578125" bestFit="1" customWidth="1"/>
    <col min="5" max="5" width="15.28515625" bestFit="1" customWidth="1"/>
    <col min="6" max="6" width="15" bestFit="1" customWidth="1"/>
    <col min="7" max="7" width="6.85546875" customWidth="1"/>
    <col min="8" max="8" width="17.5703125" bestFit="1" customWidth="1"/>
    <col min="9" max="9" width="20.7109375" customWidth="1"/>
    <col min="10" max="10" width="38.28515625" customWidth="1"/>
    <col min="11" max="11" width="43.28515625" customWidth="1"/>
    <col min="12" max="12" width="15.7109375" customWidth="1"/>
    <col min="13" max="13" width="33.140625" customWidth="1"/>
  </cols>
  <sheetData>
    <row r="1" spans="1:12" ht="18.75" x14ac:dyDescent="0.3">
      <c r="A1" s="1" t="s">
        <v>94</v>
      </c>
      <c r="B1" s="2"/>
      <c r="C1" s="2"/>
      <c r="D1" s="2"/>
      <c r="E1" s="2"/>
      <c r="F1" s="2"/>
      <c r="G1" s="2"/>
      <c r="H1" s="2"/>
      <c r="J1" s="179" t="s">
        <v>95</v>
      </c>
      <c r="K1" s="180"/>
    </row>
    <row r="2" spans="1:12" ht="15" x14ac:dyDescent="0.25">
      <c r="A2" s="2"/>
      <c r="B2" s="2"/>
      <c r="C2" s="2"/>
      <c r="D2" s="2"/>
      <c r="E2" s="2"/>
      <c r="F2" s="2"/>
      <c r="G2" s="2"/>
      <c r="H2" s="2"/>
      <c r="J2" s="181"/>
      <c r="K2" s="182"/>
    </row>
    <row r="3" spans="1:12" ht="18.75" x14ac:dyDescent="0.3">
      <c r="A3" s="1"/>
      <c r="B3" s="66" t="s">
        <v>1</v>
      </c>
      <c r="C3" s="66" t="s">
        <v>2</v>
      </c>
      <c r="D3" s="2"/>
      <c r="E3" s="2"/>
      <c r="F3" s="2"/>
      <c r="G3" s="2"/>
      <c r="H3" s="2"/>
      <c r="J3" s="181"/>
      <c r="K3" s="182"/>
    </row>
    <row r="4" spans="1:12" ht="15" x14ac:dyDescent="0.25">
      <c r="A4" s="67" t="s">
        <v>3</v>
      </c>
      <c r="B4" s="68">
        <v>932698578</v>
      </c>
      <c r="C4" s="68">
        <f>B4/70*85</f>
        <v>1132562559</v>
      </c>
      <c r="D4" s="71" t="s">
        <v>4</v>
      </c>
      <c r="E4" s="157" t="s">
        <v>5</v>
      </c>
      <c r="F4" s="157"/>
      <c r="G4" s="76"/>
      <c r="H4" s="2"/>
      <c r="J4" s="181"/>
      <c r="K4" s="182"/>
    </row>
    <row r="5" spans="1:12" ht="15" x14ac:dyDescent="0.25">
      <c r="A5" s="67" t="s">
        <v>6</v>
      </c>
      <c r="B5" s="183">
        <f>933962507+204000000+85000000</f>
        <v>1222962507</v>
      </c>
      <c r="C5" s="68">
        <f>B5</f>
        <v>1222962507</v>
      </c>
      <c r="D5" s="59"/>
      <c r="E5" s="157"/>
      <c r="F5" s="157"/>
      <c r="G5" s="76"/>
      <c r="H5" s="2"/>
      <c r="J5" s="181"/>
      <c r="K5" s="182"/>
    </row>
    <row r="6" spans="1:12" ht="15" x14ac:dyDescent="0.25">
      <c r="A6" s="3"/>
      <c r="B6" s="184">
        <f>SUM(B4:B5)</f>
        <v>2155661085</v>
      </c>
      <c r="C6" s="80">
        <f>SUM(C4:C5)</f>
        <v>2355525066</v>
      </c>
      <c r="D6" s="60"/>
      <c r="E6" s="2"/>
      <c r="F6" s="2"/>
      <c r="G6" s="2"/>
      <c r="H6" s="2"/>
      <c r="J6" s="181"/>
      <c r="K6" s="182"/>
    </row>
    <row r="7" spans="1:12" ht="15" x14ac:dyDescent="0.25">
      <c r="A7" s="3"/>
      <c r="B7" s="80"/>
      <c r="C7" s="81"/>
      <c r="D7" s="60"/>
      <c r="E7" s="2"/>
      <c r="F7" s="2"/>
      <c r="G7" s="2"/>
      <c r="H7" s="2"/>
      <c r="J7" s="185"/>
      <c r="K7" s="186"/>
    </row>
    <row r="8" spans="1:12" ht="15" x14ac:dyDescent="0.25">
      <c r="A8" s="16"/>
      <c r="B8" s="154" t="s">
        <v>96</v>
      </c>
      <c r="C8" s="155"/>
      <c r="D8" s="155"/>
      <c r="E8" s="158"/>
      <c r="F8" s="155"/>
      <c r="G8" s="156"/>
      <c r="H8" s="2"/>
      <c r="J8" s="187" t="s">
        <v>97</v>
      </c>
      <c r="K8" s="188">
        <v>76603171.637986124</v>
      </c>
    </row>
    <row r="9" spans="1:12" ht="15" x14ac:dyDescent="0.25">
      <c r="A9" s="16"/>
      <c r="B9" s="137" t="s">
        <v>31</v>
      </c>
      <c r="C9" s="137" t="s">
        <v>11</v>
      </c>
      <c r="D9" s="7" t="s">
        <v>1</v>
      </c>
      <c r="E9" s="137" t="s">
        <v>2</v>
      </c>
      <c r="F9" s="6" t="s">
        <v>12</v>
      </c>
      <c r="G9" s="137" t="s">
        <v>13</v>
      </c>
      <c r="H9" s="2"/>
      <c r="J9" s="187" t="s">
        <v>98</v>
      </c>
      <c r="K9" s="188">
        <f>K8+85000000</f>
        <v>161603171.63798612</v>
      </c>
    </row>
    <row r="10" spans="1:12" ht="15.75" thickBot="1" x14ac:dyDescent="0.3">
      <c r="A10" s="8" t="s">
        <v>14</v>
      </c>
      <c r="B10" s="17" t="s">
        <v>32</v>
      </c>
      <c r="C10" s="189">
        <v>9.3363023830349405</v>
      </c>
      <c r="D10" s="97">
        <f>C10/SUM($C$33:$C$37)*$B$4</f>
        <v>201259037.24901187</v>
      </c>
      <c r="E10" s="69">
        <f>C10/SUM($C$33:$C$37)*$C$4</f>
        <v>244385973.80237156</v>
      </c>
      <c r="F10" s="190">
        <f>E10/SUM(E$10:E$22)*100</f>
        <v>10.375010537135655</v>
      </c>
      <c r="G10" s="189">
        <f>F10-C10</f>
        <v>1.0387081541007142</v>
      </c>
      <c r="H10" s="2"/>
      <c r="J10" s="191" t="s">
        <v>99</v>
      </c>
      <c r="K10" s="192">
        <f>K9-85000000</f>
        <v>76603171.637986124</v>
      </c>
    </row>
    <row r="11" spans="1:12" ht="15" x14ac:dyDescent="0.25">
      <c r="A11" s="8" t="s">
        <v>15</v>
      </c>
      <c r="B11" s="17" t="s">
        <v>33</v>
      </c>
      <c r="C11" s="189">
        <v>7.1331437807200615</v>
      </c>
      <c r="D11" s="97">
        <f>C11/SUM($C$33:$C$37)*$B$4</f>
        <v>153766404.61808011</v>
      </c>
      <c r="E11" s="69">
        <f>C11/SUM($C$33:$C$37)*$C$4</f>
        <v>186716348.46481159</v>
      </c>
      <c r="F11" s="190">
        <f t="shared" ref="F11:F22" si="0">E11/SUM(E$10:E$22)*100</f>
        <v>7.9267400360073941</v>
      </c>
      <c r="G11" s="189">
        <f t="shared" ref="G11:G22" si="1">F11-C11</f>
        <v>0.79359625528733257</v>
      </c>
      <c r="H11" s="2"/>
    </row>
    <row r="12" spans="1:12" ht="15" x14ac:dyDescent="0.25">
      <c r="A12" s="8" t="s">
        <v>16</v>
      </c>
      <c r="B12" s="17" t="s">
        <v>34</v>
      </c>
      <c r="C12" s="189">
        <v>5.716099059577787</v>
      </c>
      <c r="D12" s="97">
        <f>C12/SUM($C$33:$C$37)*$B$4</f>
        <v>123219723.00736932</v>
      </c>
      <c r="E12" s="69">
        <f>C12/SUM($C$33:$C$37)*$C$4</f>
        <v>149623949.36609131</v>
      </c>
      <c r="F12" s="190">
        <f t="shared" si="0"/>
        <v>6.3520423333967315</v>
      </c>
      <c r="G12" s="189">
        <f t="shared" si="1"/>
        <v>0.63594327381894455</v>
      </c>
      <c r="H12" s="2"/>
      <c r="I12" s="193"/>
      <c r="J12" s="194"/>
      <c r="K12" s="195"/>
    </row>
    <row r="13" spans="1:12" ht="15" x14ac:dyDescent="0.25">
      <c r="A13" s="8" t="s">
        <v>17</v>
      </c>
      <c r="B13" s="17" t="s">
        <v>35</v>
      </c>
      <c r="C13" s="189">
        <v>7.7668486603326858</v>
      </c>
      <c r="D13" s="97">
        <f>C13/SUM($C$33:$C$37)*$B$4</f>
        <v>167426934.10163555</v>
      </c>
      <c r="E13" s="69">
        <f>C13/SUM($C$33:$C$37)*$C$4</f>
        <v>203304134.26627174</v>
      </c>
      <c r="F13" s="190">
        <f t="shared" si="0"/>
        <v>8.6309476048798608</v>
      </c>
      <c r="G13" s="189">
        <f t="shared" si="1"/>
        <v>0.86409894454717495</v>
      </c>
      <c r="H13" s="2"/>
      <c r="I13" s="196"/>
      <c r="J13" s="196"/>
    </row>
    <row r="14" spans="1:12" ht="15" x14ac:dyDescent="0.25">
      <c r="A14" s="8" t="s">
        <v>18</v>
      </c>
      <c r="B14" s="17" t="s">
        <v>36</v>
      </c>
      <c r="C14" s="189">
        <v>13.315009535643361</v>
      </c>
      <c r="D14" s="97">
        <f>C14/SUM($C$33:$C$37)*$B$4</f>
        <v>287026479.02390313</v>
      </c>
      <c r="E14" s="69">
        <f>C14/SUM($C$33:$C$37)*$C$4</f>
        <v>348532153.10045385</v>
      </c>
      <c r="F14" s="190">
        <f t="shared" si="0"/>
        <v>14.796367830307513</v>
      </c>
      <c r="G14" s="189">
        <f t="shared" si="1"/>
        <v>1.4813582946641528</v>
      </c>
      <c r="H14" s="2"/>
      <c r="I14" s="197"/>
      <c r="J14" s="198"/>
      <c r="K14" s="199"/>
      <c r="L14" s="199"/>
    </row>
    <row r="15" spans="1:12" ht="15" x14ac:dyDescent="0.25">
      <c r="A15" s="9" t="s">
        <v>19</v>
      </c>
      <c r="B15" s="5" t="s">
        <v>37</v>
      </c>
      <c r="C15" s="200">
        <v>7.4966873393266305</v>
      </c>
      <c r="D15" s="201">
        <f>C15/SUM(C$38:C$45)*$B$5</f>
        <v>161603171.63798609</v>
      </c>
      <c r="E15" s="202">
        <f t="shared" ref="E15:E22" si="2">C15/SUM(C$38:C$45)*$C$5</f>
        <v>161603171.63798609</v>
      </c>
      <c r="F15" s="203">
        <f t="shared" si="0"/>
        <v>6.8606008049156575</v>
      </c>
      <c r="G15" s="200">
        <f t="shared" si="1"/>
        <v>-0.63608653441097296</v>
      </c>
      <c r="H15" s="2"/>
      <c r="I15" s="197"/>
      <c r="J15" s="198"/>
      <c r="K15" s="199"/>
      <c r="L15" s="199"/>
    </row>
    <row r="16" spans="1:12" ht="15" x14ac:dyDescent="0.25">
      <c r="A16" s="9" t="s">
        <v>20</v>
      </c>
      <c r="B16" s="5" t="s">
        <v>38</v>
      </c>
      <c r="C16" s="200">
        <v>4.590378195197097</v>
      </c>
      <c r="D16" s="64">
        <f t="shared" ref="D16:D22" si="3">C16/SUM(C$38:C$45)*$B$5</f>
        <v>98952996.408189192</v>
      </c>
      <c r="E16" s="21">
        <f t="shared" si="2"/>
        <v>98952996.408189192</v>
      </c>
      <c r="F16" s="203">
        <f t="shared" si="0"/>
        <v>4.2008891281392629</v>
      </c>
      <c r="G16" s="200">
        <f t="shared" si="1"/>
        <v>-0.38948906705783415</v>
      </c>
      <c r="H16" s="2"/>
      <c r="I16" s="197"/>
      <c r="J16" s="198"/>
      <c r="K16" s="199"/>
      <c r="L16" s="199"/>
    </row>
    <row r="17" spans="1:12" ht="15" x14ac:dyDescent="0.25">
      <c r="A17" s="9" t="s">
        <v>21</v>
      </c>
      <c r="B17" s="5" t="s">
        <v>39</v>
      </c>
      <c r="C17" s="200">
        <v>4.4892297916535417</v>
      </c>
      <c r="D17" s="64">
        <f t="shared" si="3"/>
        <v>96772579.634901986</v>
      </c>
      <c r="E17" s="21">
        <f t="shared" si="2"/>
        <v>96772579.634901986</v>
      </c>
      <c r="F17" s="203">
        <f t="shared" si="0"/>
        <v>4.1083230669769479</v>
      </c>
      <c r="G17" s="200">
        <f t="shared" si="1"/>
        <v>-0.38090672467659381</v>
      </c>
      <c r="H17" s="2"/>
      <c r="I17" s="197"/>
      <c r="J17" s="198"/>
      <c r="K17" s="199"/>
      <c r="L17" s="199"/>
    </row>
    <row r="18" spans="1:12" ht="15" x14ac:dyDescent="0.25">
      <c r="A18" s="9" t="s">
        <v>22</v>
      </c>
      <c r="B18" s="5" t="s">
        <v>40</v>
      </c>
      <c r="C18" s="200">
        <v>16.337506561304881</v>
      </c>
      <c r="D18" s="64">
        <f>C18/SUM(C$38:C$45)*$B$5</f>
        <v>352181271.20137101</v>
      </c>
      <c r="E18" s="21">
        <f>C18/SUM(C$38:C$45)*$C$5</f>
        <v>352181271.20137101</v>
      </c>
      <c r="F18" s="203">
        <f t="shared" si="0"/>
        <v>14.951285226585274</v>
      </c>
      <c r="G18" s="200">
        <f t="shared" si="1"/>
        <v>-1.3862213347196075</v>
      </c>
      <c r="H18" s="2"/>
      <c r="I18" s="197"/>
      <c r="J18" s="198"/>
      <c r="K18" s="199"/>
      <c r="L18" s="199"/>
    </row>
    <row r="19" spans="1:12" ht="15" x14ac:dyDescent="0.25">
      <c r="A19" s="9" t="s">
        <v>23</v>
      </c>
      <c r="B19" s="5" t="s">
        <v>41</v>
      </c>
      <c r="C19" s="200">
        <v>7.5401850286977163</v>
      </c>
      <c r="D19" s="64">
        <f t="shared" si="3"/>
        <v>162540834.4006328</v>
      </c>
      <c r="E19" s="21">
        <f t="shared" si="2"/>
        <v>162540834.4006328</v>
      </c>
      <c r="F19" s="203">
        <f t="shared" si="0"/>
        <v>6.9004077582009815</v>
      </c>
      <c r="G19" s="200">
        <f t="shared" si="1"/>
        <v>-0.63977727049673483</v>
      </c>
      <c r="H19" s="2"/>
      <c r="I19" s="197"/>
      <c r="J19" s="198"/>
      <c r="K19" s="204"/>
      <c r="L19" s="204"/>
    </row>
    <row r="20" spans="1:12" ht="15" x14ac:dyDescent="0.25">
      <c r="A20" s="9" t="s">
        <v>24</v>
      </c>
      <c r="B20" s="5" t="s">
        <v>42</v>
      </c>
      <c r="C20" s="200">
        <v>4.9084673557322676</v>
      </c>
      <c r="D20" s="64">
        <f t="shared" si="3"/>
        <v>105809920.65744904</v>
      </c>
      <c r="E20" s="21">
        <f t="shared" si="2"/>
        <v>105809920.65744904</v>
      </c>
      <c r="F20" s="203">
        <f t="shared" si="0"/>
        <v>4.4919887368096907</v>
      </c>
      <c r="G20" s="200">
        <f t="shared" si="1"/>
        <v>-0.41647861892257687</v>
      </c>
      <c r="H20" s="2"/>
      <c r="I20" s="197"/>
      <c r="J20" s="198"/>
      <c r="K20" s="204"/>
      <c r="L20" s="204"/>
    </row>
    <row r="21" spans="1:12" ht="15" x14ac:dyDescent="0.25">
      <c r="A21" s="9" t="s">
        <v>25</v>
      </c>
      <c r="B21" s="5" t="s">
        <v>43</v>
      </c>
      <c r="C21" s="200">
        <v>6.5095819555364445</v>
      </c>
      <c r="D21" s="64">
        <f t="shared" si="3"/>
        <v>140324525.01168117</v>
      </c>
      <c r="E21" s="21">
        <f t="shared" si="2"/>
        <v>140324525.01168117</v>
      </c>
      <c r="F21" s="203">
        <f t="shared" si="0"/>
        <v>5.9572503403655634</v>
      </c>
      <c r="G21" s="200">
        <f t="shared" si="1"/>
        <v>-0.55233161517088103</v>
      </c>
      <c r="H21" s="2"/>
      <c r="I21" s="197"/>
      <c r="J21" s="198"/>
      <c r="K21" s="204"/>
      <c r="L21" s="204"/>
    </row>
    <row r="22" spans="1:12" ht="15" x14ac:dyDescent="0.25">
      <c r="A22" s="9" t="s">
        <v>26</v>
      </c>
      <c r="B22" s="5" t="s">
        <v>44</v>
      </c>
      <c r="C22" s="200">
        <v>4.8605603532425707</v>
      </c>
      <c r="D22" s="64">
        <f t="shared" si="3"/>
        <v>104777208.04778865</v>
      </c>
      <c r="E22" s="21">
        <f t="shared" si="2"/>
        <v>104777208.04778865</v>
      </c>
      <c r="F22" s="203">
        <f t="shared" si="0"/>
        <v>4.4481465962794662</v>
      </c>
      <c r="G22" s="200">
        <f t="shared" si="1"/>
        <v>-0.41241375696310456</v>
      </c>
      <c r="H22" s="2"/>
      <c r="I22" s="197"/>
      <c r="J22" s="198"/>
      <c r="K22" s="204"/>
      <c r="L22" s="204"/>
    </row>
    <row r="23" spans="1:12" ht="15" x14ac:dyDescent="0.25">
      <c r="A23" s="22" t="s">
        <v>27</v>
      </c>
      <c r="B23" s="23"/>
      <c r="C23" s="23">
        <f>SUM(C10:C22)</f>
        <v>100</v>
      </c>
      <c r="D23" s="23"/>
      <c r="E23" s="35"/>
      <c r="F23" s="34"/>
      <c r="G23" s="23"/>
      <c r="H23" s="2"/>
      <c r="I23" s="197"/>
      <c r="J23" s="198"/>
      <c r="K23" s="204"/>
      <c r="L23" s="204"/>
    </row>
    <row r="24" spans="1:12" ht="15" x14ac:dyDescent="0.25">
      <c r="A24" s="2"/>
      <c r="B24" s="2"/>
      <c r="C24" s="2"/>
      <c r="D24" s="76"/>
      <c r="E24" s="2"/>
      <c r="F24" s="2"/>
      <c r="G24" s="2"/>
      <c r="H24" s="2"/>
      <c r="I24" s="197"/>
      <c r="J24" s="198"/>
      <c r="K24" s="204"/>
      <c r="L24" s="204"/>
    </row>
    <row r="25" spans="1:12" ht="15" x14ac:dyDescent="0.25">
      <c r="A25" s="2"/>
      <c r="B25" s="2"/>
      <c r="C25" s="2"/>
      <c r="D25" s="76"/>
      <c r="E25" s="2"/>
      <c r="F25" s="2"/>
      <c r="G25" s="2"/>
      <c r="H25" s="2"/>
      <c r="I25" s="197"/>
      <c r="J25" s="198"/>
      <c r="K25" s="204"/>
      <c r="L25" s="204"/>
    </row>
    <row r="26" spans="1:12" ht="15" x14ac:dyDescent="0.25">
      <c r="A26" s="2"/>
      <c r="B26" s="2"/>
      <c r="C26" s="2"/>
      <c r="D26" s="76"/>
      <c r="E26" s="2"/>
      <c r="F26" s="2"/>
      <c r="G26" s="2"/>
      <c r="H26" s="2"/>
      <c r="I26" s="197"/>
      <c r="J26" s="198"/>
      <c r="K26" s="204"/>
      <c r="L26" s="204"/>
    </row>
    <row r="27" spans="1:12" ht="18.75" x14ac:dyDescent="0.3">
      <c r="A27" s="1"/>
      <c r="B27" s="66" t="s">
        <v>1</v>
      </c>
      <c r="C27" s="66" t="s">
        <v>2</v>
      </c>
      <c r="D27" s="72"/>
      <c r="E27" s="72"/>
      <c r="F27" s="72">
        <f>+E27-D27</f>
        <v>0</v>
      </c>
      <c r="G27" s="2"/>
      <c r="H27" s="2"/>
      <c r="I27" s="197"/>
      <c r="J27" s="38"/>
      <c r="K27" s="38"/>
      <c r="L27" s="38"/>
    </row>
    <row r="28" spans="1:12" ht="15" x14ac:dyDescent="0.25">
      <c r="A28" s="67" t="s">
        <v>3</v>
      </c>
      <c r="B28" s="68">
        <f>B4/24.5</f>
        <v>38069329.714285716</v>
      </c>
      <c r="C28" s="68">
        <f>B28/70*85</f>
        <v>46227043.224489793</v>
      </c>
      <c r="D28" s="71" t="s">
        <v>4</v>
      </c>
      <c r="E28" s="157" t="s">
        <v>28</v>
      </c>
      <c r="F28" s="157"/>
      <c r="G28" s="2"/>
      <c r="H28" s="2"/>
    </row>
    <row r="29" spans="1:12" ht="15" x14ac:dyDescent="0.25">
      <c r="A29" s="67" t="s">
        <v>6</v>
      </c>
      <c r="B29" s="205">
        <f>B5/24.5</f>
        <v>49916837.020408161</v>
      </c>
      <c r="C29" s="205">
        <f>B29</f>
        <v>49916837.020408161</v>
      </c>
      <c r="D29" s="59"/>
      <c r="E29" s="157"/>
      <c r="F29" s="157"/>
      <c r="G29" s="2"/>
      <c r="H29" s="2"/>
    </row>
    <row r="30" spans="1:12" ht="15" x14ac:dyDescent="0.25">
      <c r="A30" s="3"/>
      <c r="B30" s="14"/>
      <c r="C30" s="15"/>
      <c r="D30" s="60"/>
      <c r="E30" s="2"/>
      <c r="F30" s="2"/>
      <c r="G30" s="2"/>
      <c r="H30" s="2"/>
    </row>
    <row r="31" spans="1:12" ht="15" x14ac:dyDescent="0.25">
      <c r="A31" s="16"/>
      <c r="B31" s="154" t="s">
        <v>30</v>
      </c>
      <c r="C31" s="155"/>
      <c r="D31" s="155"/>
      <c r="E31" s="155"/>
      <c r="F31" s="155"/>
      <c r="G31" s="156"/>
      <c r="H31" s="2"/>
    </row>
    <row r="32" spans="1:12" ht="15" x14ac:dyDescent="0.25">
      <c r="A32" s="16"/>
      <c r="B32" s="137" t="s">
        <v>31</v>
      </c>
      <c r="C32" s="137" t="s">
        <v>11</v>
      </c>
      <c r="D32" s="137" t="s">
        <v>1</v>
      </c>
      <c r="E32" s="137" t="s">
        <v>2</v>
      </c>
      <c r="F32" s="137" t="s">
        <v>12</v>
      </c>
      <c r="G32" s="137" t="s">
        <v>13</v>
      </c>
      <c r="H32" s="2"/>
    </row>
    <row r="33" spans="1:8" ht="15" x14ac:dyDescent="0.25">
      <c r="A33" s="8" t="s">
        <v>14</v>
      </c>
      <c r="B33" s="17" t="s">
        <v>32</v>
      </c>
      <c r="C33" s="189">
        <v>9.3363023830349405</v>
      </c>
      <c r="D33" s="19">
        <f>C33/SUM(C$33:C$37)*$B$28</f>
        <v>8214654.5815923214</v>
      </c>
      <c r="E33" s="19">
        <f>C33/SUM(C$33:C$37)*$C$28</f>
        <v>9974937.7062192466</v>
      </c>
      <c r="F33" s="189">
        <f t="shared" ref="F33:F45" si="4">E33/SUM(E$33:E$45)*100</f>
        <v>10.375010537135655</v>
      </c>
      <c r="G33" s="189">
        <f t="shared" ref="G33:G45" si="5">F33-C33</f>
        <v>1.0387081541007142</v>
      </c>
      <c r="H33" s="2"/>
    </row>
    <row r="34" spans="1:8" ht="15" x14ac:dyDescent="0.25">
      <c r="A34" s="8" t="s">
        <v>15</v>
      </c>
      <c r="B34" s="17" t="s">
        <v>33</v>
      </c>
      <c r="C34" s="189">
        <v>7.1331437807200615</v>
      </c>
      <c r="D34" s="19">
        <f>C34/SUM(C$33:C$37)*$B$28</f>
        <v>6276179.7803298011</v>
      </c>
      <c r="E34" s="19">
        <f>C34/SUM(C$33:C$37)*$C$28</f>
        <v>7621075.4475433296</v>
      </c>
      <c r="F34" s="189">
        <f t="shared" si="4"/>
        <v>7.9267400360073941</v>
      </c>
      <c r="G34" s="189">
        <f t="shared" si="5"/>
        <v>0.79359625528733257</v>
      </c>
      <c r="H34" s="2"/>
    </row>
    <row r="35" spans="1:8" ht="15" x14ac:dyDescent="0.25">
      <c r="A35" s="8" t="s">
        <v>16</v>
      </c>
      <c r="B35" s="17" t="s">
        <v>34</v>
      </c>
      <c r="C35" s="189">
        <v>5.716099059577787</v>
      </c>
      <c r="D35" s="19">
        <f>C35/SUM(C$33:C$37)*$B$28</f>
        <v>5029376.4492803812</v>
      </c>
      <c r="E35" s="19">
        <f>C35/SUM(C$33:C$37)*$C$28</f>
        <v>6107099.974126176</v>
      </c>
      <c r="F35" s="189">
        <f t="shared" si="4"/>
        <v>6.3520423333967333</v>
      </c>
      <c r="G35" s="189">
        <f t="shared" si="5"/>
        <v>0.63594327381894633</v>
      </c>
      <c r="H35" s="2"/>
    </row>
    <row r="36" spans="1:8" ht="15" x14ac:dyDescent="0.25">
      <c r="A36" s="8" t="s">
        <v>17</v>
      </c>
      <c r="B36" s="17" t="s">
        <v>35</v>
      </c>
      <c r="C36" s="189">
        <v>7.7668486603326858</v>
      </c>
      <c r="D36" s="19">
        <f>C36/SUM(C$33:C$37)*$B$28</f>
        <v>6833752.4123116555</v>
      </c>
      <c r="E36" s="19">
        <f>C36/SUM(C$33:C$37)*$C$28</f>
        <v>8298127.9292355813</v>
      </c>
      <c r="F36" s="189">
        <f t="shared" si="4"/>
        <v>8.6309476048798608</v>
      </c>
      <c r="G36" s="189">
        <f t="shared" si="5"/>
        <v>0.86409894454717495</v>
      </c>
      <c r="H36" s="2"/>
    </row>
    <row r="37" spans="1:8" ht="15" x14ac:dyDescent="0.25">
      <c r="A37" s="8" t="s">
        <v>18</v>
      </c>
      <c r="B37" s="17" t="s">
        <v>36</v>
      </c>
      <c r="C37" s="189">
        <v>13.315009535643361</v>
      </c>
      <c r="D37" s="19">
        <f>C37/SUM(C$33:C$37)*$B$28</f>
        <v>11715366.490771558</v>
      </c>
      <c r="E37" s="19">
        <f>C37/SUM(C$33:C$37)*$C$28</f>
        <v>14225802.167365462</v>
      </c>
      <c r="F37" s="189">
        <f t="shared" si="4"/>
        <v>14.796367830307513</v>
      </c>
      <c r="G37" s="189">
        <f t="shared" si="5"/>
        <v>1.4813582946641528</v>
      </c>
      <c r="H37" s="2"/>
    </row>
    <row r="38" spans="1:8" ht="15" x14ac:dyDescent="0.25">
      <c r="A38" s="9" t="s">
        <v>19</v>
      </c>
      <c r="B38" s="5" t="s">
        <v>37</v>
      </c>
      <c r="C38" s="200">
        <v>7.4966873393266305</v>
      </c>
      <c r="D38" s="202">
        <f t="shared" ref="D38:D45" si="6">C38/SUM(C$38:C$45)*$B$29</f>
        <v>6596047.8219586154</v>
      </c>
      <c r="E38" s="202">
        <f t="shared" ref="E38:E45" si="7">C38/SUM(C$38:C$45)*$C$29</f>
        <v>6596047.8219586154</v>
      </c>
      <c r="F38" s="200">
        <f t="shared" si="4"/>
        <v>6.8606008049156593</v>
      </c>
      <c r="G38" s="200">
        <f>F38-C38</f>
        <v>-0.63608653441097118</v>
      </c>
      <c r="H38" s="2"/>
    </row>
    <row r="39" spans="1:8" ht="15" x14ac:dyDescent="0.25">
      <c r="A39" s="9" t="s">
        <v>20</v>
      </c>
      <c r="B39" s="5" t="s">
        <v>38</v>
      </c>
      <c r="C39" s="200">
        <v>4.590378195197097</v>
      </c>
      <c r="D39" s="21">
        <f t="shared" si="6"/>
        <v>4038897.8125791503</v>
      </c>
      <c r="E39" s="21">
        <f t="shared" si="7"/>
        <v>4038897.8125791503</v>
      </c>
      <c r="F39" s="200">
        <f t="shared" si="4"/>
        <v>4.2008891281392629</v>
      </c>
      <c r="G39" s="200">
        <f t="shared" si="5"/>
        <v>-0.38948906705783415</v>
      </c>
      <c r="H39" s="2"/>
    </row>
    <row r="40" spans="1:8" ht="15" x14ac:dyDescent="0.25">
      <c r="A40" s="9" t="s">
        <v>21</v>
      </c>
      <c r="B40" s="5" t="s">
        <v>39</v>
      </c>
      <c r="C40" s="200">
        <v>4.4892297916535417</v>
      </c>
      <c r="D40" s="21">
        <f t="shared" si="6"/>
        <v>3949901.2095878362</v>
      </c>
      <c r="E40" s="21">
        <f t="shared" si="7"/>
        <v>3949901.2095878362</v>
      </c>
      <c r="F40" s="200">
        <f t="shared" si="4"/>
        <v>4.1083230669769488</v>
      </c>
      <c r="G40" s="200">
        <f t="shared" si="5"/>
        <v>-0.38090672467659292</v>
      </c>
      <c r="H40" s="2"/>
    </row>
    <row r="41" spans="1:8" ht="15" x14ac:dyDescent="0.25">
      <c r="A41" s="9" t="s">
        <v>22</v>
      </c>
      <c r="B41" s="5" t="s">
        <v>40</v>
      </c>
      <c r="C41" s="200">
        <v>16.337506561304881</v>
      </c>
      <c r="D41" s="21">
        <f t="shared" si="6"/>
        <v>14374745.763321266</v>
      </c>
      <c r="E41" s="21">
        <f t="shared" si="7"/>
        <v>14374745.763321266</v>
      </c>
      <c r="F41" s="200">
        <f t="shared" si="4"/>
        <v>14.951285226585275</v>
      </c>
      <c r="G41" s="200">
        <f t="shared" si="5"/>
        <v>-1.3862213347196057</v>
      </c>
      <c r="H41" s="2"/>
    </row>
    <row r="42" spans="1:8" ht="15" x14ac:dyDescent="0.25">
      <c r="A42" s="9" t="s">
        <v>23</v>
      </c>
      <c r="B42" s="5" t="s">
        <v>41</v>
      </c>
      <c r="C42" s="200">
        <v>7.5401850286977163</v>
      </c>
      <c r="D42" s="21">
        <f t="shared" si="6"/>
        <v>6634319.7714543995</v>
      </c>
      <c r="E42" s="21">
        <f t="shared" si="7"/>
        <v>6634319.7714543995</v>
      </c>
      <c r="F42" s="200">
        <f t="shared" si="4"/>
        <v>6.9004077582009824</v>
      </c>
      <c r="G42" s="200">
        <f t="shared" si="5"/>
        <v>-0.63977727049673394</v>
      </c>
      <c r="H42" s="2"/>
    </row>
    <row r="43" spans="1:8" ht="15" x14ac:dyDescent="0.25">
      <c r="A43" s="9" t="s">
        <v>24</v>
      </c>
      <c r="B43" s="5" t="s">
        <v>42</v>
      </c>
      <c r="C43" s="200">
        <v>4.9084673557322676</v>
      </c>
      <c r="D43" s="21">
        <f t="shared" si="6"/>
        <v>4318772.2717326134</v>
      </c>
      <c r="E43" s="21">
        <f t="shared" si="7"/>
        <v>4318772.2717326134</v>
      </c>
      <c r="F43" s="200">
        <f t="shared" si="4"/>
        <v>4.4919887368096916</v>
      </c>
      <c r="G43" s="200">
        <f t="shared" si="5"/>
        <v>-0.41647861892257598</v>
      </c>
      <c r="H43" s="2"/>
    </row>
    <row r="44" spans="1:8" ht="15" x14ac:dyDescent="0.25">
      <c r="A44" s="9" t="s">
        <v>25</v>
      </c>
      <c r="B44" s="5" t="s">
        <v>43</v>
      </c>
      <c r="C44" s="200">
        <v>6.5095819555364445</v>
      </c>
      <c r="D44" s="21">
        <f t="shared" si="6"/>
        <v>5727531.6331298426</v>
      </c>
      <c r="E44" s="21">
        <f t="shared" si="7"/>
        <v>5727531.6331298426</v>
      </c>
      <c r="F44" s="200">
        <f t="shared" si="4"/>
        <v>5.9572503403655634</v>
      </c>
      <c r="G44" s="200">
        <f t="shared" si="5"/>
        <v>-0.55233161517088103</v>
      </c>
      <c r="H44" s="2"/>
    </row>
    <row r="45" spans="1:8" ht="15" x14ac:dyDescent="0.25">
      <c r="A45" s="9" t="s">
        <v>26</v>
      </c>
      <c r="B45" s="5" t="s">
        <v>44</v>
      </c>
      <c r="C45" s="200">
        <v>4.8605603532425707</v>
      </c>
      <c r="D45" s="21">
        <f t="shared" si="6"/>
        <v>4276620.7366444347</v>
      </c>
      <c r="E45" s="21">
        <f t="shared" si="7"/>
        <v>4276620.7366444347</v>
      </c>
      <c r="F45" s="200">
        <f t="shared" si="4"/>
        <v>4.4481465962794671</v>
      </c>
      <c r="G45" s="200">
        <f t="shared" si="5"/>
        <v>-0.41241375696310367</v>
      </c>
      <c r="H45" s="2"/>
    </row>
    <row r="46" spans="1:8" ht="15" x14ac:dyDescent="0.25">
      <c r="A46" s="22" t="s">
        <v>27</v>
      </c>
      <c r="B46" s="23"/>
      <c r="C46" s="23">
        <f>SUM(C33:C45)</f>
        <v>100</v>
      </c>
      <c r="D46" s="23"/>
      <c r="E46" s="23"/>
      <c r="F46" s="34"/>
      <c r="G46" s="23"/>
      <c r="H46" s="2"/>
    </row>
    <row r="47" spans="1:8" ht="15" x14ac:dyDescent="0.25">
      <c r="A47" s="2"/>
      <c r="B47" s="2"/>
      <c r="C47" s="2"/>
      <c r="D47" s="2"/>
      <c r="E47" s="2"/>
      <c r="F47" s="2"/>
      <c r="G47" s="2"/>
      <c r="H47" s="2"/>
    </row>
    <row r="48" spans="1:8" ht="15" x14ac:dyDescent="0.25">
      <c r="A48" s="2"/>
      <c r="B48" s="2"/>
      <c r="C48" s="2"/>
      <c r="D48" s="2"/>
      <c r="E48" s="2"/>
      <c r="F48" s="2"/>
      <c r="G48" s="2"/>
      <c r="H48" s="2"/>
    </row>
    <row r="49" spans="1:8" ht="15" x14ac:dyDescent="0.25">
      <c r="A49" s="2"/>
      <c r="B49" s="2"/>
      <c r="C49" s="2"/>
      <c r="D49" s="2"/>
      <c r="E49" s="2"/>
      <c r="F49" s="2"/>
      <c r="G49" s="2"/>
      <c r="H49" s="2"/>
    </row>
    <row r="50" spans="1:8" ht="15" x14ac:dyDescent="0.25">
      <c r="A50" s="2"/>
      <c r="B50" s="2"/>
      <c r="C50" s="2"/>
      <c r="D50" s="2"/>
      <c r="E50" s="2"/>
      <c r="F50" s="2"/>
      <c r="G50" s="2"/>
      <c r="H50" s="2"/>
    </row>
    <row r="51" spans="1:8" ht="15" x14ac:dyDescent="0.25">
      <c r="A51" s="2"/>
      <c r="B51" s="2"/>
      <c r="C51" s="2"/>
      <c r="D51" s="2"/>
      <c r="E51" s="2"/>
      <c r="F51" s="2"/>
      <c r="G51" s="2"/>
      <c r="H51" s="2"/>
    </row>
    <row r="52" spans="1:8" ht="15" x14ac:dyDescent="0.25">
      <c r="A52" s="135"/>
      <c r="B52" s="136" t="s">
        <v>31</v>
      </c>
      <c r="C52" s="136" t="s">
        <v>11</v>
      </c>
      <c r="D52" s="136" t="s">
        <v>92</v>
      </c>
      <c r="E52" s="2"/>
      <c r="F52" s="2"/>
      <c r="G52" s="2"/>
      <c r="H52" s="2"/>
    </row>
    <row r="53" spans="1:8" ht="15" x14ac:dyDescent="0.25">
      <c r="A53" s="133" t="s">
        <v>14</v>
      </c>
      <c r="B53" s="5" t="s">
        <v>32</v>
      </c>
      <c r="C53" s="206">
        <f>D53/($D$69/100)</f>
        <v>9.3363023830349405</v>
      </c>
      <c r="D53" s="134">
        <v>201259037.24901187</v>
      </c>
      <c r="E53" s="2"/>
      <c r="F53" s="2"/>
      <c r="G53" s="2"/>
      <c r="H53" s="2"/>
    </row>
    <row r="54" spans="1:8" ht="15" x14ac:dyDescent="0.25">
      <c r="A54" s="133" t="s">
        <v>15</v>
      </c>
      <c r="B54" s="5" t="s">
        <v>33</v>
      </c>
      <c r="C54" s="206">
        <f t="shared" ref="C54:C68" si="8">D54/($D$69/100)</f>
        <v>7.1331437807200615</v>
      </c>
      <c r="D54" s="134">
        <v>153766404.61808011</v>
      </c>
      <c r="E54" s="2"/>
      <c r="F54" s="2"/>
      <c r="G54" s="2"/>
      <c r="H54" s="2"/>
    </row>
    <row r="55" spans="1:8" ht="15" x14ac:dyDescent="0.25">
      <c r="A55" s="133" t="s">
        <v>16</v>
      </c>
      <c r="B55" s="5" t="s">
        <v>34</v>
      </c>
      <c r="C55" s="206">
        <f t="shared" si="8"/>
        <v>5.716099059577787</v>
      </c>
      <c r="D55" s="134">
        <v>123219723.00736932</v>
      </c>
      <c r="E55" s="2"/>
      <c r="F55" s="2"/>
      <c r="G55" s="2"/>
      <c r="H55" s="2"/>
    </row>
    <row r="56" spans="1:8" ht="15" x14ac:dyDescent="0.25">
      <c r="A56" s="133" t="s">
        <v>17</v>
      </c>
      <c r="B56" s="5" t="s">
        <v>35</v>
      </c>
      <c r="C56" s="206">
        <f t="shared" si="8"/>
        <v>7.7668486603326858</v>
      </c>
      <c r="D56" s="134">
        <v>167426934.10163555</v>
      </c>
      <c r="E56" s="2"/>
      <c r="F56" s="2"/>
      <c r="G56" s="2"/>
      <c r="H56" s="2"/>
    </row>
    <row r="57" spans="1:8" ht="15" x14ac:dyDescent="0.25">
      <c r="A57" s="133" t="s">
        <v>18</v>
      </c>
      <c r="B57" s="5" t="s">
        <v>36</v>
      </c>
      <c r="C57" s="206">
        <f t="shared" si="8"/>
        <v>13.315009535643361</v>
      </c>
      <c r="D57" s="134">
        <v>287026479.02390313</v>
      </c>
      <c r="E57" s="2"/>
      <c r="F57" s="2"/>
      <c r="G57" s="2"/>
      <c r="H57" s="2"/>
    </row>
    <row r="58" spans="1:8" ht="15" x14ac:dyDescent="0.25">
      <c r="A58" s="207" t="s">
        <v>100</v>
      </c>
      <c r="B58" s="208" t="s">
        <v>37</v>
      </c>
      <c r="C58" s="209">
        <f t="shared" si="8"/>
        <v>7.4966873393266349</v>
      </c>
      <c r="D58" s="210">
        <f>76603171.6379862+85000000</f>
        <v>161603171.63798618</v>
      </c>
      <c r="E58" s="2"/>
      <c r="F58" s="2"/>
      <c r="G58" s="2"/>
      <c r="H58" s="2"/>
    </row>
    <row r="59" spans="1:8" ht="15" x14ac:dyDescent="0.25">
      <c r="A59" s="133" t="s">
        <v>20</v>
      </c>
      <c r="B59" s="5" t="s">
        <v>38</v>
      </c>
      <c r="C59" s="206">
        <f t="shared" si="8"/>
        <v>4.590378195197097</v>
      </c>
      <c r="D59" s="134">
        <v>98952996.408189163</v>
      </c>
      <c r="E59" s="2"/>
      <c r="F59" s="2"/>
      <c r="G59" s="2"/>
      <c r="H59" s="2"/>
    </row>
    <row r="60" spans="1:8" ht="15" x14ac:dyDescent="0.25">
      <c r="A60" s="133" t="s">
        <v>21</v>
      </c>
      <c r="B60" s="5" t="s">
        <v>39</v>
      </c>
      <c r="C60" s="206">
        <f t="shared" si="8"/>
        <v>4.4892297916535417</v>
      </c>
      <c r="D60" s="134">
        <v>96772579.634901986</v>
      </c>
      <c r="E60" s="2"/>
      <c r="F60" s="2"/>
      <c r="G60" s="2"/>
      <c r="H60" s="2"/>
    </row>
    <row r="61" spans="1:8" ht="15" x14ac:dyDescent="0.25">
      <c r="A61" s="211" t="s">
        <v>88</v>
      </c>
      <c r="B61" s="212" t="s">
        <v>40</v>
      </c>
      <c r="C61" s="206">
        <f t="shared" si="8"/>
        <v>16.337506561304881</v>
      </c>
      <c r="D61" s="213">
        <v>352181271.20137101</v>
      </c>
      <c r="E61" s="2"/>
      <c r="F61" s="76"/>
      <c r="G61" s="2"/>
      <c r="H61" s="131"/>
    </row>
    <row r="62" spans="1:8" ht="15" x14ac:dyDescent="0.25">
      <c r="A62" s="211" t="s">
        <v>89</v>
      </c>
      <c r="B62" s="212" t="s">
        <v>41</v>
      </c>
      <c r="C62" s="206">
        <f t="shared" si="8"/>
        <v>7.5401850286977163</v>
      </c>
      <c r="D62" s="213">
        <v>162540834.40063277</v>
      </c>
      <c r="E62" s="2"/>
      <c r="F62" s="76"/>
      <c r="G62" s="2"/>
      <c r="H62" s="131"/>
    </row>
    <row r="63" spans="1:8" ht="15" x14ac:dyDescent="0.25">
      <c r="A63" s="133" t="s">
        <v>24</v>
      </c>
      <c r="B63" s="5" t="s">
        <v>42</v>
      </c>
      <c r="C63" s="206">
        <f t="shared" si="8"/>
        <v>4.9084673557322676</v>
      </c>
      <c r="D63" s="134">
        <v>105809920.65744901</v>
      </c>
      <c r="E63" s="2"/>
      <c r="F63" s="2"/>
      <c r="G63" s="2"/>
      <c r="H63" s="131"/>
    </row>
    <row r="64" spans="1:8" ht="15" x14ac:dyDescent="0.25">
      <c r="A64" s="133" t="s">
        <v>25</v>
      </c>
      <c r="B64" s="5" t="s">
        <v>43</v>
      </c>
      <c r="C64" s="206">
        <f t="shared" si="8"/>
        <v>6.5095819555364445</v>
      </c>
      <c r="D64" s="134">
        <v>140324525.01168114</v>
      </c>
      <c r="E64" s="2"/>
      <c r="F64" s="2"/>
      <c r="G64" s="2"/>
      <c r="H64" s="2"/>
    </row>
    <row r="65" spans="1:8" ht="15" x14ac:dyDescent="0.25">
      <c r="A65" s="133" t="s">
        <v>26</v>
      </c>
      <c r="B65" s="5" t="s">
        <v>44</v>
      </c>
      <c r="C65" s="206">
        <f t="shared" si="8"/>
        <v>4.8605603532425707</v>
      </c>
      <c r="D65" s="134">
        <v>104777208.04778865</v>
      </c>
      <c r="E65" s="2"/>
      <c r="F65" s="2"/>
      <c r="G65" s="2"/>
      <c r="H65" s="2"/>
    </row>
    <row r="66" spans="1:8" ht="30" x14ac:dyDescent="0.25">
      <c r="A66" s="214" t="s">
        <v>90</v>
      </c>
      <c r="B66" s="215" t="s">
        <v>93</v>
      </c>
      <c r="C66" s="206">
        <f t="shared" si="8"/>
        <v>8.09381242374638</v>
      </c>
      <c r="D66" s="216">
        <v>174475164.71159601</v>
      </c>
      <c r="E66" s="2"/>
      <c r="F66" s="2"/>
      <c r="G66" s="2"/>
      <c r="H66" s="2"/>
    </row>
    <row r="67" spans="1:8" ht="30" x14ac:dyDescent="0.25">
      <c r="A67" s="214" t="s">
        <v>91</v>
      </c>
      <c r="B67" s="215" t="s">
        <v>93</v>
      </c>
      <c r="C67" s="206">
        <f t="shared" si="8"/>
        <v>3.7355053560473306</v>
      </c>
      <c r="D67" s="216">
        <v>80524835.288403004</v>
      </c>
      <c r="E67" s="2"/>
      <c r="F67" s="2"/>
      <c r="G67" s="2"/>
      <c r="H67" s="2"/>
    </row>
    <row r="68" spans="1:8" ht="30" x14ac:dyDescent="0.25">
      <c r="A68" s="217" t="s">
        <v>101</v>
      </c>
      <c r="B68" s="218" t="s">
        <v>93</v>
      </c>
      <c r="C68" s="209">
        <f t="shared" si="8"/>
        <v>3.9431059265979185</v>
      </c>
      <c r="D68" s="219">
        <v>85000000</v>
      </c>
      <c r="E68" s="2"/>
      <c r="F68" s="2"/>
      <c r="G68" s="2"/>
      <c r="H68" s="2"/>
    </row>
    <row r="69" spans="1:8" ht="15" x14ac:dyDescent="0.25">
      <c r="A69" s="133" t="s">
        <v>27</v>
      </c>
      <c r="B69" s="5"/>
      <c r="C69" s="20">
        <v>100</v>
      </c>
      <c r="D69" s="220">
        <f>SUM(D53:D65)</f>
        <v>2155661085</v>
      </c>
      <c r="E69" s="2"/>
      <c r="F69" s="2"/>
      <c r="G69" s="2"/>
      <c r="H69" s="2"/>
    </row>
  </sheetData>
  <mergeCells count="5">
    <mergeCell ref="J1:K7"/>
    <mergeCell ref="E4:F5"/>
    <mergeCell ref="B8:G8"/>
    <mergeCell ref="E28:F29"/>
    <mergeCell ref="B31:G31"/>
  </mergeCells>
  <pageMargins left="0.7" right="0.7" top="0.78740157499999996" bottom="0.78740157499999996"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workbookViewId="0">
      <selection activeCell="B3" sqref="B3"/>
    </sheetView>
  </sheetViews>
  <sheetFormatPr defaultColWidth="9.140625" defaultRowHeight="12.75" x14ac:dyDescent="0.2"/>
  <cols>
    <col min="1" max="1" width="20.7109375" style="24" bestFit="1" customWidth="1"/>
    <col min="2" max="3" width="14.140625" style="24" bestFit="1" customWidth="1"/>
    <col min="4" max="5" width="15.28515625" style="24" bestFit="1" customWidth="1"/>
    <col min="6" max="6" width="9.7109375" style="24" bestFit="1" customWidth="1"/>
    <col min="7" max="7" width="10.7109375" style="24" bestFit="1" customWidth="1"/>
    <col min="8" max="8" width="10.28515625" style="24" bestFit="1" customWidth="1"/>
    <col min="9" max="9" width="23.42578125" style="24" customWidth="1"/>
    <col min="10" max="10" width="19.140625" style="24" customWidth="1"/>
    <col min="11" max="16384" width="9.140625" style="24"/>
  </cols>
  <sheetData>
    <row r="1" spans="1:10" ht="15.75" customHeight="1" x14ac:dyDescent="0.3">
      <c r="A1" s="1" t="s">
        <v>45</v>
      </c>
      <c r="B1" s="2"/>
      <c r="C1" s="2"/>
      <c r="D1" s="2"/>
    </row>
    <row r="2" spans="1:10" ht="15.75" customHeight="1" x14ac:dyDescent="0.3">
      <c r="A2" s="1"/>
      <c r="B2" s="2" t="s">
        <v>1</v>
      </c>
      <c r="C2" s="2" t="s">
        <v>2</v>
      </c>
      <c r="D2" s="2"/>
      <c r="E2"/>
      <c r="F2"/>
      <c r="G2"/>
      <c r="H2"/>
    </row>
    <row r="3" spans="1:10" ht="15.75" customHeight="1" x14ac:dyDescent="0.25">
      <c r="A3" s="25" t="s">
        <v>46</v>
      </c>
      <c r="B3" s="4">
        <f>B26*24.5</f>
        <v>367500000</v>
      </c>
      <c r="C3" s="4">
        <f>B3/40*90</f>
        <v>826875000</v>
      </c>
      <c r="D3" s="26" t="s">
        <v>47</v>
      </c>
      <c r="E3" s="160" t="s">
        <v>5</v>
      </c>
      <c r="F3" s="160"/>
      <c r="G3"/>
      <c r="H3"/>
    </row>
    <row r="4" spans="1:10" ht="15.75" customHeight="1" x14ac:dyDescent="0.25">
      <c r="A4" s="82" t="s">
        <v>3</v>
      </c>
      <c r="B4" s="83">
        <v>977081000</v>
      </c>
      <c r="C4" s="83">
        <f>B4/70*90</f>
        <v>1256247000</v>
      </c>
      <c r="D4" s="26" t="s">
        <v>48</v>
      </c>
      <c r="E4" s="160"/>
      <c r="F4" s="160"/>
      <c r="G4" s="78"/>
      <c r="J4" s="61"/>
    </row>
    <row r="5" spans="1:10" ht="15.75" customHeight="1" x14ac:dyDescent="0.25">
      <c r="A5" s="25" t="s">
        <v>6</v>
      </c>
      <c r="B5" s="4">
        <v>1750969876</v>
      </c>
      <c r="C5" s="4">
        <f>B5/85*90</f>
        <v>1853968104.0000002</v>
      </c>
      <c r="D5" s="26" t="s">
        <v>49</v>
      </c>
      <c r="E5" s="160"/>
      <c r="F5" s="160"/>
    </row>
    <row r="6" spans="1:10" ht="15.75" customHeight="1" x14ac:dyDescent="0.2">
      <c r="A6" s="59"/>
      <c r="B6" s="85">
        <f>SUM(B3:B5)</f>
        <v>3095550876</v>
      </c>
      <c r="C6" s="85">
        <f>SUM(C3:C5)</f>
        <v>3937090104</v>
      </c>
      <c r="D6" s="59"/>
    </row>
    <row r="7" spans="1:10" ht="15.75" customHeight="1" x14ac:dyDescent="0.2">
      <c r="A7" s="84"/>
      <c r="B7" s="84"/>
      <c r="C7" s="84"/>
      <c r="D7" s="59"/>
    </row>
    <row r="8" spans="1:10" ht="15.75" customHeight="1" x14ac:dyDescent="0.25">
      <c r="A8" s="16"/>
      <c r="B8" s="154" t="s">
        <v>50</v>
      </c>
      <c r="C8" s="155"/>
      <c r="D8" s="158"/>
      <c r="E8" s="158"/>
      <c r="F8" s="158"/>
      <c r="G8" s="158"/>
      <c r="H8" s="159"/>
    </row>
    <row r="9" spans="1:10" ht="30" x14ac:dyDescent="0.25">
      <c r="A9" s="16"/>
      <c r="B9" s="73" t="s">
        <v>31</v>
      </c>
      <c r="C9" s="7" t="s">
        <v>11</v>
      </c>
      <c r="D9" s="7" t="s">
        <v>1</v>
      </c>
      <c r="E9" s="73" t="s">
        <v>2</v>
      </c>
      <c r="F9" s="6" t="s">
        <v>12</v>
      </c>
      <c r="G9" s="73" t="s">
        <v>13</v>
      </c>
      <c r="H9" s="73" t="s">
        <v>51</v>
      </c>
    </row>
    <row r="10" spans="1:10" ht="15.75" customHeight="1" x14ac:dyDescent="0.25">
      <c r="A10" s="8" t="s">
        <v>15</v>
      </c>
      <c r="B10" s="27">
        <v>47786</v>
      </c>
      <c r="C10" s="39">
        <f>(B10/B24)*100</f>
        <v>11.052951748288949</v>
      </c>
      <c r="D10" s="63">
        <f>C10/SUM(C$32:C$36)*$B$4</f>
        <v>294994172.65932512</v>
      </c>
      <c r="E10" s="19">
        <f>C10/SUM(C$32:C$36)*$C$4</f>
        <v>379278221.99056083</v>
      </c>
      <c r="F10" s="42">
        <f t="shared" ref="F10:F23" si="0">E10/SUM(E$10:E$23)*100</f>
        <v>9.6334656299895745</v>
      </c>
      <c r="G10" s="18">
        <f t="shared" ref="G10:G23" si="1">F10-C10</f>
        <v>-1.4194861182993748</v>
      </c>
      <c r="H10" s="19">
        <f t="shared" ref="H10:H23" si="2">E10/$B10</f>
        <v>7937.0154855095807</v>
      </c>
    </row>
    <row r="11" spans="1:10" ht="15.75" customHeight="1" x14ac:dyDescent="0.25">
      <c r="A11" s="8" t="s">
        <v>14</v>
      </c>
      <c r="B11" s="27">
        <v>27344</v>
      </c>
      <c r="C11" s="39">
        <f>(B11/B24)*100</f>
        <v>6.3246957813002354</v>
      </c>
      <c r="D11" s="63">
        <f>C11/SUM(C$32:C$36)*$B$4</f>
        <v>168800917.78337976</v>
      </c>
      <c r="E11" s="19">
        <f>C11/SUM(C$32:C$36)*$C$4</f>
        <v>217029751.435774</v>
      </c>
      <c r="F11" s="42">
        <f t="shared" si="0"/>
        <v>5.5124405513421282</v>
      </c>
      <c r="G11" s="18">
        <f t="shared" si="1"/>
        <v>-0.81225522995810717</v>
      </c>
      <c r="H11" s="19">
        <f t="shared" si="2"/>
        <v>7937.0154855095816</v>
      </c>
    </row>
    <row r="12" spans="1:10" ht="15.75" customHeight="1" x14ac:dyDescent="0.25">
      <c r="A12" s="8" t="s">
        <v>16</v>
      </c>
      <c r="B12" s="27">
        <v>20757</v>
      </c>
      <c r="C12" s="39">
        <f>(B12/B24)*100</f>
        <v>4.8011157962422839</v>
      </c>
      <c r="D12" s="63">
        <f>C12/SUM(C$32:C$36)*$B$4</f>
        <v>128137823.6698952</v>
      </c>
      <c r="E12" s="19">
        <f>C12/SUM(C$32:C$36)*$C$4</f>
        <v>164748630.43272242</v>
      </c>
      <c r="F12" s="42">
        <f t="shared" si="0"/>
        <v>4.1845278132024788</v>
      </c>
      <c r="G12" s="18">
        <f t="shared" si="1"/>
        <v>-0.61658798303980511</v>
      </c>
      <c r="H12" s="19">
        <f t="shared" si="2"/>
        <v>7937.0154855095834</v>
      </c>
    </row>
    <row r="13" spans="1:10" ht="15.75" customHeight="1" x14ac:dyDescent="0.25">
      <c r="A13" s="8" t="s">
        <v>17</v>
      </c>
      <c r="B13" s="27">
        <v>23168</v>
      </c>
      <c r="C13" s="39">
        <f>(B13/B24)*100</f>
        <v>5.3587826163386438</v>
      </c>
      <c r="D13" s="63">
        <f>C13/SUM(C$32:C$36)*$B$4</f>
        <v>143021491.48644468</v>
      </c>
      <c r="E13" s="19">
        <f>C13/SUM(C$32:C$36)*$C$4</f>
        <v>183884774.76828602</v>
      </c>
      <c r="F13" s="42">
        <f t="shared" si="0"/>
        <v>4.6705757275268596</v>
      </c>
      <c r="G13" s="18">
        <f t="shared" si="1"/>
        <v>-0.68820688881178427</v>
      </c>
      <c r="H13" s="19">
        <f t="shared" si="2"/>
        <v>7937.0154855095834</v>
      </c>
    </row>
    <row r="14" spans="1:10" ht="15.75" customHeight="1" x14ac:dyDescent="0.25">
      <c r="A14" s="8" t="s">
        <v>18</v>
      </c>
      <c r="B14" s="27">
        <v>39222</v>
      </c>
      <c r="C14" s="39">
        <f>(B14/B24)*100</f>
        <v>9.0720895967728872</v>
      </c>
      <c r="D14" s="63">
        <f>C14/SUM(C$32:C$36)*$B$4</f>
        <v>242126594.40095529</v>
      </c>
      <c r="E14" s="19">
        <f>C14/SUM(C$32:C$36)*$C$4</f>
        <v>311305621.37265682</v>
      </c>
      <c r="F14" s="42">
        <f t="shared" si="0"/>
        <v>7.906997634023587</v>
      </c>
      <c r="G14" s="18">
        <f t="shared" si="1"/>
        <v>-1.1650919627493002</v>
      </c>
      <c r="H14" s="19">
        <f t="shared" si="2"/>
        <v>7937.0154855095816</v>
      </c>
    </row>
    <row r="15" spans="1:10" ht="15.75" customHeight="1" x14ac:dyDescent="0.25">
      <c r="A15" s="9" t="s">
        <v>19</v>
      </c>
      <c r="B15" s="28">
        <v>10541</v>
      </c>
      <c r="C15" s="40">
        <f>(B15/B24)*100</f>
        <v>2.4381443179741726</v>
      </c>
      <c r="D15" s="64">
        <f t="shared" ref="D15:D22" si="3">C15/SUM(C$37:C$44)*$B$5</f>
        <v>90131622.844817311</v>
      </c>
      <c r="E15" s="21">
        <f t="shared" ref="E15:E22" si="4">C15/SUM(C$37:C$44)*$C$5</f>
        <v>95433483.012159511</v>
      </c>
      <c r="F15" s="43">
        <f t="shared" si="0"/>
        <v>2.4239598406752516</v>
      </c>
      <c r="G15" s="20">
        <f t="shared" si="1"/>
        <v>-1.4184477298921028E-2</v>
      </c>
      <c r="H15" s="21">
        <f t="shared" si="2"/>
        <v>9053.5511822559074</v>
      </c>
    </row>
    <row r="16" spans="1:10" ht="15.75" customHeight="1" x14ac:dyDescent="0.25">
      <c r="A16" s="9" t="s">
        <v>20</v>
      </c>
      <c r="B16" s="28">
        <v>22966</v>
      </c>
      <c r="C16" s="40">
        <f>(B16/B24)*100</f>
        <v>5.3120598051982597</v>
      </c>
      <c r="D16" s="64">
        <f t="shared" si="3"/>
        <v>196372531.09326199</v>
      </c>
      <c r="E16" s="21">
        <f t="shared" si="4"/>
        <v>207923856.45168918</v>
      </c>
      <c r="F16" s="43">
        <f t="shared" si="0"/>
        <v>5.2811556494590493</v>
      </c>
      <c r="G16" s="20">
        <f t="shared" si="1"/>
        <v>-3.0904155739210459E-2</v>
      </c>
      <c r="H16" s="21">
        <f t="shared" si="2"/>
        <v>9053.5511822559074</v>
      </c>
    </row>
    <row r="17" spans="1:9" ht="15.75" customHeight="1" x14ac:dyDescent="0.25">
      <c r="A17" s="9" t="s">
        <v>21</v>
      </c>
      <c r="B17" s="28">
        <v>16117</v>
      </c>
      <c r="C17" s="40">
        <f>(B17/B24)*100</f>
        <v>3.7278789462849584</v>
      </c>
      <c r="D17" s="64">
        <f t="shared" si="3"/>
        <v>137809635.27083966</v>
      </c>
      <c r="E17" s="21">
        <f t="shared" si="4"/>
        <v>145916084.4044185</v>
      </c>
      <c r="F17" s="43">
        <f t="shared" si="0"/>
        <v>3.7061911348224119</v>
      </c>
      <c r="G17" s="20">
        <f t="shared" si="1"/>
        <v>-2.1687811462546502E-2</v>
      </c>
      <c r="H17" s="21">
        <f t="shared" si="2"/>
        <v>9053.5511822559092</v>
      </c>
    </row>
    <row r="18" spans="1:9" ht="15.75" customHeight="1" x14ac:dyDescent="0.25">
      <c r="A18" s="9" t="s">
        <v>22</v>
      </c>
      <c r="B18" s="28">
        <v>48499</v>
      </c>
      <c r="C18" s="40">
        <f>(B18/B24)*100</f>
        <v>11.217869393551789</v>
      </c>
      <c r="D18" s="64">
        <f t="shared" si="3"/>
        <v>414694391.07777202</v>
      </c>
      <c r="E18" s="21">
        <f t="shared" si="4"/>
        <v>439088178.78822929</v>
      </c>
      <c r="F18" s="43">
        <f t="shared" si="0"/>
        <v>11.152606803235846</v>
      </c>
      <c r="G18" s="20">
        <f t="shared" si="1"/>
        <v>-6.5262590315942504E-2</v>
      </c>
      <c r="H18" s="21">
        <f t="shared" si="2"/>
        <v>9053.5511822559074</v>
      </c>
    </row>
    <row r="19" spans="1:9" ht="15.75" customHeight="1" x14ac:dyDescent="0.25">
      <c r="A19" s="9" t="s">
        <v>23</v>
      </c>
      <c r="B19" s="28">
        <v>27470</v>
      </c>
      <c r="C19" s="40">
        <f>(B19/B24)*100</f>
        <v>6.3538397130016637</v>
      </c>
      <c r="D19" s="64">
        <f t="shared" si="3"/>
        <v>234884325.92231593</v>
      </c>
      <c r="E19" s="21">
        <f t="shared" si="4"/>
        <v>248701050.97656983</v>
      </c>
      <c r="F19" s="43">
        <f t="shared" si="0"/>
        <v>6.3168747579308588</v>
      </c>
      <c r="G19" s="20">
        <f t="shared" si="1"/>
        <v>-3.6964955070804884E-2</v>
      </c>
      <c r="H19" s="21">
        <f t="shared" si="2"/>
        <v>9053.5511822559092</v>
      </c>
    </row>
    <row r="20" spans="1:9" ht="15.75" customHeight="1" x14ac:dyDescent="0.25">
      <c r="A20" s="9" t="s">
        <v>24</v>
      </c>
      <c r="B20" s="28">
        <v>22212</v>
      </c>
      <c r="C20" s="40">
        <f>(B20/B24)*100</f>
        <v>5.1376588170801947</v>
      </c>
      <c r="D20" s="64">
        <f t="shared" si="3"/>
        <v>189925396.70136443</v>
      </c>
      <c r="E20" s="21">
        <f t="shared" si="4"/>
        <v>201097478.86026827</v>
      </c>
      <c r="F20" s="43">
        <f t="shared" si="0"/>
        <v>5.1077692800567984</v>
      </c>
      <c r="G20" s="20">
        <f t="shared" si="1"/>
        <v>-2.9889537023396251E-2</v>
      </c>
      <c r="H20" s="21">
        <f t="shared" si="2"/>
        <v>9053.5511822559092</v>
      </c>
    </row>
    <row r="21" spans="1:9" ht="15.75" customHeight="1" x14ac:dyDescent="0.25">
      <c r="A21" s="9" t="s">
        <v>25</v>
      </c>
      <c r="B21" s="28">
        <v>32379</v>
      </c>
      <c r="C21" s="40">
        <f>(B21/B24)*100</f>
        <v>7.4892965441310828</v>
      </c>
      <c r="D21" s="64">
        <f t="shared" si="3"/>
        <v>276859104.0785827</v>
      </c>
      <c r="E21" s="21">
        <f t="shared" si="4"/>
        <v>293144933.73026407</v>
      </c>
      <c r="F21" s="43">
        <f t="shared" si="0"/>
        <v>7.4457258022221788</v>
      </c>
      <c r="G21" s="20">
        <f t="shared" si="1"/>
        <v>-4.3570741908903976E-2</v>
      </c>
      <c r="H21" s="21">
        <f t="shared" si="2"/>
        <v>9053.5511822559092</v>
      </c>
    </row>
    <row r="22" spans="1:9" ht="15.75" customHeight="1" x14ac:dyDescent="0.25">
      <c r="A22" s="9" t="s">
        <v>26</v>
      </c>
      <c r="B22" s="28">
        <v>24594</v>
      </c>
      <c r="C22" s="40">
        <f>(B22/B24)*100</f>
        <v>5.6886179068643212</v>
      </c>
      <c r="D22" s="64">
        <f t="shared" si="3"/>
        <v>210292869.01104614</v>
      </c>
      <c r="E22" s="21">
        <f t="shared" si="4"/>
        <v>222663037.77640185</v>
      </c>
      <c r="F22" s="43">
        <f t="shared" si="0"/>
        <v>5.6555230359137809</v>
      </c>
      <c r="G22" s="20">
        <f t="shared" si="1"/>
        <v>-3.3094870950540312E-2</v>
      </c>
      <c r="H22" s="21">
        <f t="shared" si="2"/>
        <v>9053.5511822559092</v>
      </c>
    </row>
    <row r="23" spans="1:9" ht="15.75" customHeight="1" x14ac:dyDescent="0.25">
      <c r="A23" s="29" t="s">
        <v>52</v>
      </c>
      <c r="B23" s="30">
        <v>69282</v>
      </c>
      <c r="C23" s="41">
        <f>(B23/B24)*100</f>
        <v>16.024999016970558</v>
      </c>
      <c r="D23" s="65">
        <f>B3</f>
        <v>367500000</v>
      </c>
      <c r="E23" s="32">
        <f>C3</f>
        <v>826875000</v>
      </c>
      <c r="F23" s="44">
        <f t="shared" si="0"/>
        <v>21.002186339599199</v>
      </c>
      <c r="G23" s="31">
        <f t="shared" si="1"/>
        <v>4.9771873226286409</v>
      </c>
      <c r="H23" s="32">
        <f t="shared" si="2"/>
        <v>11934.918160561185</v>
      </c>
    </row>
    <row r="24" spans="1:9" ht="15.75" customHeight="1" x14ac:dyDescent="0.25">
      <c r="A24" s="22" t="s">
        <v>27</v>
      </c>
      <c r="B24" s="33">
        <v>432337</v>
      </c>
      <c r="C24" s="34">
        <f>SUM(C10:C23)</f>
        <v>99.999999999999986</v>
      </c>
      <c r="D24" s="62"/>
      <c r="E24" s="35"/>
      <c r="F24" s="35"/>
      <c r="G24" s="35"/>
      <c r="H24" s="35"/>
    </row>
    <row r="25" spans="1:9" ht="15.75" customHeight="1" x14ac:dyDescent="0.3">
      <c r="A25" s="1"/>
      <c r="B25" s="2" t="s">
        <v>1</v>
      </c>
      <c r="C25" s="2" t="s">
        <v>2</v>
      </c>
      <c r="D25" s="2"/>
      <c r="E25"/>
      <c r="F25"/>
      <c r="G25"/>
      <c r="H25"/>
    </row>
    <row r="26" spans="1:9" ht="15.75" customHeight="1" x14ac:dyDescent="0.25">
      <c r="A26" s="25" t="s">
        <v>46</v>
      </c>
      <c r="B26" s="4">
        <v>15000000</v>
      </c>
      <c r="C26" s="4">
        <f>B26/40*90</f>
        <v>33750000</v>
      </c>
      <c r="D26" s="26" t="s">
        <v>47</v>
      </c>
      <c r="E26" s="160" t="s">
        <v>28</v>
      </c>
      <c r="F26" s="160"/>
      <c r="G26"/>
      <c r="H26"/>
    </row>
    <row r="27" spans="1:9" ht="15.75" customHeight="1" x14ac:dyDescent="0.25">
      <c r="A27" s="25" t="s">
        <v>3</v>
      </c>
      <c r="B27" s="4">
        <f>B4/24.5</f>
        <v>39880857.142857142</v>
      </c>
      <c r="C27" s="4">
        <f>B27/70*90</f>
        <v>51275387.755102038</v>
      </c>
      <c r="D27" s="26" t="s">
        <v>48</v>
      </c>
      <c r="E27" s="160"/>
      <c r="F27" s="160"/>
    </row>
    <row r="28" spans="1:9" ht="15.75" customHeight="1" x14ac:dyDescent="0.25">
      <c r="A28" s="25" t="s">
        <v>6</v>
      </c>
      <c r="B28" s="4">
        <f>B5/24.5</f>
        <v>71468158.20408164</v>
      </c>
      <c r="C28" s="4">
        <f>B28/85*90</f>
        <v>75672167.510204092</v>
      </c>
      <c r="D28" s="26" t="s">
        <v>49</v>
      </c>
      <c r="E28" s="160"/>
      <c r="F28" s="160"/>
    </row>
    <row r="29" spans="1:9" x14ac:dyDescent="0.2">
      <c r="A29" s="3"/>
      <c r="B29" s="14"/>
      <c r="C29" s="14"/>
      <c r="D29" s="59"/>
      <c r="I29" s="78"/>
    </row>
    <row r="30" spans="1:9" ht="15" x14ac:dyDescent="0.25">
      <c r="A30" s="16"/>
      <c r="B30" s="154" t="s">
        <v>50</v>
      </c>
      <c r="C30" s="155"/>
      <c r="D30" s="158"/>
      <c r="E30" s="158"/>
      <c r="F30" s="158"/>
      <c r="G30" s="158"/>
      <c r="H30" s="159"/>
    </row>
    <row r="31" spans="1:9" ht="30" x14ac:dyDescent="0.25">
      <c r="A31" s="16"/>
      <c r="B31" s="73" t="s">
        <v>31</v>
      </c>
      <c r="C31" s="7" t="s">
        <v>11</v>
      </c>
      <c r="D31" s="7" t="s">
        <v>1</v>
      </c>
      <c r="E31" s="73" t="s">
        <v>2</v>
      </c>
      <c r="F31" s="6" t="s">
        <v>12</v>
      </c>
      <c r="G31" s="73" t="s">
        <v>13</v>
      </c>
      <c r="H31" s="73" t="s">
        <v>51</v>
      </c>
    </row>
    <row r="32" spans="1:9" ht="15" x14ac:dyDescent="0.25">
      <c r="A32" s="8" t="s">
        <v>15</v>
      </c>
      <c r="B32" s="27">
        <v>47786</v>
      </c>
      <c r="C32" s="39">
        <f>(B32/B46)*100</f>
        <v>11.052951748288949</v>
      </c>
      <c r="D32" s="63">
        <f>C32/SUM(C$32:C$36)*$B$27</f>
        <v>12040578.475890821</v>
      </c>
      <c r="E32" s="19">
        <f>C32/SUM(C$32:C$36)*$C$27</f>
        <v>15480743.754716769</v>
      </c>
      <c r="F32" s="42">
        <f>E32/SUM(E$32:E$45)*100</f>
        <v>9.6334656299895762</v>
      </c>
      <c r="G32" s="18">
        <f t="shared" ref="G32:G45" si="5">F32-C32</f>
        <v>-1.419486118299373</v>
      </c>
      <c r="H32" s="19">
        <f>E32/$B32</f>
        <v>323.95981573508493</v>
      </c>
    </row>
    <row r="33" spans="1:8" ht="15" x14ac:dyDescent="0.25">
      <c r="A33" s="8" t="s">
        <v>14</v>
      </c>
      <c r="B33" s="27">
        <v>27344</v>
      </c>
      <c r="C33" s="39">
        <f>(B33/B46)*100</f>
        <v>6.3246957813002354</v>
      </c>
      <c r="D33" s="63">
        <f t="shared" ref="D33:D36" si="6">C33/SUM(C$32:C$36)*$B$27</f>
        <v>6889833.3789134603</v>
      </c>
      <c r="E33" s="19">
        <f>C33/SUM(C$32:C$36)*$C$27</f>
        <v>8858357.2014601622</v>
      </c>
      <c r="F33" s="42">
        <f t="shared" ref="F33:F45" si="7">E33/SUM(E$32:E$45)*100</f>
        <v>5.5124405513421282</v>
      </c>
      <c r="G33" s="18">
        <f t="shared" si="5"/>
        <v>-0.81225522995810717</v>
      </c>
      <c r="H33" s="19">
        <f t="shared" ref="H33:H45" si="8">E33/$B33</f>
        <v>323.95981573508493</v>
      </c>
    </row>
    <row r="34" spans="1:8" ht="15" x14ac:dyDescent="0.25">
      <c r="A34" s="8" t="s">
        <v>16</v>
      </c>
      <c r="B34" s="27">
        <v>20757</v>
      </c>
      <c r="C34" s="39">
        <f>(B34/B46)*100</f>
        <v>4.8011157962422839</v>
      </c>
      <c r="D34" s="63">
        <f t="shared" si="6"/>
        <v>5230115.2518324573</v>
      </c>
      <c r="E34" s="19">
        <f>C34/SUM(C$32:C$36)*$C$27</f>
        <v>6724433.8952131588</v>
      </c>
      <c r="F34" s="42">
        <f t="shared" si="7"/>
        <v>4.1845278132024788</v>
      </c>
      <c r="G34" s="18">
        <f t="shared" si="5"/>
        <v>-0.61658798303980511</v>
      </c>
      <c r="H34" s="19">
        <f t="shared" si="8"/>
        <v>323.95981573508499</v>
      </c>
    </row>
    <row r="35" spans="1:8" ht="15" x14ac:dyDescent="0.25">
      <c r="A35" s="8" t="s">
        <v>17</v>
      </c>
      <c r="B35" s="27">
        <v>23168</v>
      </c>
      <c r="C35" s="39">
        <f>(B35/B46)*100</f>
        <v>5.3587826163386438</v>
      </c>
      <c r="D35" s="63">
        <f t="shared" si="6"/>
        <v>5837611.8974059047</v>
      </c>
      <c r="E35" s="19">
        <f>C35/SUM(C$32:C$36)*$C$27</f>
        <v>7505501.0109504489</v>
      </c>
      <c r="F35" s="42">
        <f t="shared" si="7"/>
        <v>4.6705757275268596</v>
      </c>
      <c r="G35" s="18">
        <f t="shared" si="5"/>
        <v>-0.68820688881178427</v>
      </c>
      <c r="H35" s="19">
        <f t="shared" si="8"/>
        <v>323.95981573508499</v>
      </c>
    </row>
    <row r="36" spans="1:8" ht="15" x14ac:dyDescent="0.25">
      <c r="A36" s="8" t="s">
        <v>18</v>
      </c>
      <c r="B36" s="27">
        <v>39222</v>
      </c>
      <c r="C36" s="39">
        <f>(B36/B46)*100</f>
        <v>9.0720895967728872</v>
      </c>
      <c r="D36" s="63">
        <f t="shared" si="6"/>
        <v>9882718.1388145015</v>
      </c>
      <c r="E36" s="19">
        <f>C36/SUM(C$32:C$36)*$C$27</f>
        <v>12706351.892761501</v>
      </c>
      <c r="F36" s="42">
        <f t="shared" si="7"/>
        <v>7.906997634023587</v>
      </c>
      <c r="G36" s="18">
        <f t="shared" si="5"/>
        <v>-1.1650919627493002</v>
      </c>
      <c r="H36" s="19">
        <f t="shared" si="8"/>
        <v>323.95981573508493</v>
      </c>
    </row>
    <row r="37" spans="1:8" ht="15" x14ac:dyDescent="0.25">
      <c r="A37" s="9" t="s">
        <v>19</v>
      </c>
      <c r="B37" s="28">
        <v>10541</v>
      </c>
      <c r="C37" s="40">
        <f>(B37/B46)*100</f>
        <v>2.4381443179741726</v>
      </c>
      <c r="D37" s="64">
        <f>C37/SUM(C$37:C$44)*$B$28</f>
        <v>3678841.7487680539</v>
      </c>
      <c r="E37" s="21">
        <f>C37/SUM(C$37:C$44)*$C$28</f>
        <v>3895244.2045779396</v>
      </c>
      <c r="F37" s="43">
        <f t="shared" si="7"/>
        <v>2.4239598406752521</v>
      </c>
      <c r="G37" s="20">
        <f t="shared" si="5"/>
        <v>-1.4184477298920584E-2</v>
      </c>
      <c r="H37" s="21">
        <f t="shared" si="8"/>
        <v>369.53270131656762</v>
      </c>
    </row>
    <row r="38" spans="1:8" ht="15" x14ac:dyDescent="0.25">
      <c r="A38" s="9" t="s">
        <v>20</v>
      </c>
      <c r="B38" s="28">
        <v>22966</v>
      </c>
      <c r="C38" s="40">
        <f>(B38/B46)*100</f>
        <v>5.3120598051982597</v>
      </c>
      <c r="D38" s="64">
        <f t="shared" ref="D38:D44" si="9">C38/SUM(C$37:C$44)*$B$28</f>
        <v>8015205.3507453883</v>
      </c>
      <c r="E38" s="21">
        <f t="shared" ref="E38:E44" si="10">C38/SUM(C$37:C$44)*$C$28</f>
        <v>8486688.018436294</v>
      </c>
      <c r="F38" s="43">
        <f t="shared" si="7"/>
        <v>5.281155649459051</v>
      </c>
      <c r="G38" s="20">
        <f t="shared" si="5"/>
        <v>-3.0904155739208683E-2</v>
      </c>
      <c r="H38" s="21">
        <f t="shared" si="8"/>
        <v>369.53270131656774</v>
      </c>
    </row>
    <row r="39" spans="1:8" ht="15" x14ac:dyDescent="0.25">
      <c r="A39" s="9" t="s">
        <v>21</v>
      </c>
      <c r="B39" s="28">
        <v>16117</v>
      </c>
      <c r="C39" s="40">
        <f>(B39/B46)*100</f>
        <v>3.7278789462849584</v>
      </c>
      <c r="D39" s="64">
        <f t="shared" si="9"/>
        <v>5624883.0722791711</v>
      </c>
      <c r="E39" s="21">
        <f t="shared" si="10"/>
        <v>5955758.547119122</v>
      </c>
      <c r="F39" s="43">
        <f t="shared" si="7"/>
        <v>3.7061911348224128</v>
      </c>
      <c r="G39" s="20">
        <f t="shared" si="5"/>
        <v>-2.1687811462545614E-2</v>
      </c>
      <c r="H39" s="21">
        <f t="shared" si="8"/>
        <v>369.53270131656774</v>
      </c>
    </row>
    <row r="40" spans="1:8" ht="15" x14ac:dyDescent="0.25">
      <c r="A40" s="9" t="s">
        <v>22</v>
      </c>
      <c r="B40" s="28">
        <v>48499</v>
      </c>
      <c r="C40" s="40">
        <f>(B40/B46)*100</f>
        <v>11.217869393551789</v>
      </c>
      <c r="D40" s="64">
        <f t="shared" si="9"/>
        <v>16926301.676643759</v>
      </c>
      <c r="E40" s="21">
        <f t="shared" si="10"/>
        <v>17921966.481152214</v>
      </c>
      <c r="F40" s="43">
        <f t="shared" si="7"/>
        <v>11.152606803235846</v>
      </c>
      <c r="G40" s="20">
        <f t="shared" si="5"/>
        <v>-6.5262590315942504E-2</v>
      </c>
      <c r="H40" s="21">
        <f t="shared" si="8"/>
        <v>369.53270131656762</v>
      </c>
    </row>
    <row r="41" spans="1:8" ht="15" x14ac:dyDescent="0.25">
      <c r="A41" s="9" t="s">
        <v>23</v>
      </c>
      <c r="B41" s="28">
        <v>27470</v>
      </c>
      <c r="C41" s="40">
        <f>(B41/B46)*100</f>
        <v>6.3538397130016637</v>
      </c>
      <c r="D41" s="64">
        <f t="shared" si="9"/>
        <v>9587115.3437679969</v>
      </c>
      <c r="E41" s="21">
        <f t="shared" si="10"/>
        <v>10151063.305166116</v>
      </c>
      <c r="F41" s="43">
        <f t="shared" si="7"/>
        <v>6.3168747579308597</v>
      </c>
      <c r="G41" s="20">
        <f t="shared" si="5"/>
        <v>-3.6964955070803995E-2</v>
      </c>
      <c r="H41" s="21">
        <f t="shared" si="8"/>
        <v>369.53270131656774</v>
      </c>
    </row>
    <row r="42" spans="1:8" ht="15" x14ac:dyDescent="0.25">
      <c r="A42" s="9" t="s">
        <v>24</v>
      </c>
      <c r="B42" s="28">
        <v>22212</v>
      </c>
      <c r="C42" s="40">
        <f>(B42/B46)*100</f>
        <v>5.1376588170801947</v>
      </c>
      <c r="D42" s="64">
        <f t="shared" si="9"/>
        <v>7752057.0082189571</v>
      </c>
      <c r="E42" s="21">
        <f t="shared" si="10"/>
        <v>8208060.3616436021</v>
      </c>
      <c r="F42" s="43">
        <f t="shared" si="7"/>
        <v>5.1077692800567984</v>
      </c>
      <c r="G42" s="20">
        <f t="shared" si="5"/>
        <v>-2.9889537023396251E-2</v>
      </c>
      <c r="H42" s="21">
        <f t="shared" si="8"/>
        <v>369.53270131656774</v>
      </c>
    </row>
    <row r="43" spans="1:8" ht="15" x14ac:dyDescent="0.25">
      <c r="A43" s="9" t="s">
        <v>25</v>
      </c>
      <c r="B43" s="28">
        <v>32379</v>
      </c>
      <c r="C43" s="40">
        <f>(B43/B46)*100</f>
        <v>7.4892965441310828</v>
      </c>
      <c r="D43" s="64">
        <f t="shared" si="9"/>
        <v>11300371.595044192</v>
      </c>
      <c r="E43" s="21">
        <f t="shared" si="10"/>
        <v>11965099.335929144</v>
      </c>
      <c r="F43" s="43">
        <f t="shared" si="7"/>
        <v>7.4457258022221788</v>
      </c>
      <c r="G43" s="20">
        <f t="shared" si="5"/>
        <v>-4.3570741908903976E-2</v>
      </c>
      <c r="H43" s="21">
        <f t="shared" si="8"/>
        <v>369.53270131656768</v>
      </c>
    </row>
    <row r="44" spans="1:8" ht="15" x14ac:dyDescent="0.25">
      <c r="A44" s="9" t="s">
        <v>26</v>
      </c>
      <c r="B44" s="28">
        <v>24594</v>
      </c>
      <c r="C44" s="40">
        <f>(B44/B46)*100</f>
        <v>5.6886179068643212</v>
      </c>
      <c r="D44" s="64">
        <f t="shared" si="9"/>
        <v>8583382.4086141288</v>
      </c>
      <c r="E44" s="21">
        <f t="shared" si="10"/>
        <v>9088287.2561796661</v>
      </c>
      <c r="F44" s="43">
        <f t="shared" si="7"/>
        <v>5.6555230359137809</v>
      </c>
      <c r="G44" s="20">
        <f t="shared" si="5"/>
        <v>-3.3094870950540312E-2</v>
      </c>
      <c r="H44" s="21">
        <f t="shared" si="8"/>
        <v>369.53270131656768</v>
      </c>
    </row>
    <row r="45" spans="1:8" ht="15" x14ac:dyDescent="0.25">
      <c r="A45" s="29" t="s">
        <v>52</v>
      </c>
      <c r="B45" s="30">
        <v>69282</v>
      </c>
      <c r="C45" s="41">
        <f>(B45/B46)*100</f>
        <v>16.024999016970558</v>
      </c>
      <c r="D45" s="65">
        <f>B26</f>
        <v>15000000</v>
      </c>
      <c r="E45" s="32">
        <f>C26</f>
        <v>33750000</v>
      </c>
      <c r="F45" s="44">
        <f t="shared" si="7"/>
        <v>21.002186339599202</v>
      </c>
      <c r="G45" s="31">
        <f t="shared" si="5"/>
        <v>4.9771873226286445</v>
      </c>
      <c r="H45" s="32">
        <f t="shared" si="8"/>
        <v>487.13951675759938</v>
      </c>
    </row>
    <row r="46" spans="1:8" ht="15" x14ac:dyDescent="0.25">
      <c r="A46" s="22" t="s">
        <v>27</v>
      </c>
      <c r="B46" s="33">
        <v>432337</v>
      </c>
      <c r="C46" s="34">
        <f>SUM(C32:C45)</f>
        <v>99.999999999999986</v>
      </c>
      <c r="D46" s="62"/>
      <c r="E46" s="35"/>
      <c r="F46" s="35"/>
      <c r="G46" s="35"/>
      <c r="H46" s="35"/>
    </row>
    <row r="50" spans="4:4" x14ac:dyDescent="0.2">
      <c r="D50" s="77"/>
    </row>
  </sheetData>
  <mergeCells count="4">
    <mergeCell ref="B30:H30"/>
    <mergeCell ref="B8:H8"/>
    <mergeCell ref="E26:F28"/>
    <mergeCell ref="E3:F5"/>
  </mergeCells>
  <pageMargins left="0.7" right="0.7" top="0.78740157499999996" bottom="0.78740157499999996" header="0.3" footer="0.3"/>
  <pageSetup paperSize="9" scale="9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9FEDD-59AB-4635-9819-12BFC74958B9}">
  <sheetPr>
    <pageSetUpPr fitToPage="1"/>
  </sheetPr>
  <dimension ref="A1:C25"/>
  <sheetViews>
    <sheetView zoomScaleNormal="100" workbookViewId="0">
      <selection activeCell="B3" sqref="B3:B4"/>
    </sheetView>
  </sheetViews>
  <sheetFormatPr defaultRowHeight="12.75" x14ac:dyDescent="0.2"/>
  <cols>
    <col min="1" max="1" width="38.140625" customWidth="1"/>
    <col min="2" max="2" width="37.42578125" customWidth="1"/>
    <col min="3" max="3" width="18.140625" customWidth="1"/>
  </cols>
  <sheetData>
    <row r="1" spans="1:3" ht="18.75" x14ac:dyDescent="0.3">
      <c r="A1" s="1" t="s">
        <v>53</v>
      </c>
    </row>
    <row r="2" spans="1:3" ht="18.75" x14ac:dyDescent="0.3">
      <c r="A2" s="1"/>
      <c r="B2" s="66" t="s">
        <v>1</v>
      </c>
      <c r="C2" s="66" t="s">
        <v>2</v>
      </c>
    </row>
    <row r="3" spans="1:3" x14ac:dyDescent="0.2">
      <c r="A3" s="67" t="s">
        <v>3</v>
      </c>
      <c r="B3" s="68">
        <f>B8+B9+B10+B11+B12</f>
        <v>1328460000</v>
      </c>
      <c r="C3" s="68">
        <f>C8+C9+C10+C11+C12</f>
        <v>1613130000</v>
      </c>
    </row>
    <row r="4" spans="1:3" x14ac:dyDescent="0.2">
      <c r="A4" s="67" t="s">
        <v>6</v>
      </c>
      <c r="B4" s="68">
        <f>B13+B14+B16+B15+B17+B18+B19+B20</f>
        <v>2227469370</v>
      </c>
      <c r="C4" s="68">
        <f>C13+C14+C15+C16+C17+C18+C19+C20</f>
        <v>2227469370</v>
      </c>
    </row>
    <row r="7" spans="1:3" x14ac:dyDescent="0.2">
      <c r="A7" s="86" t="s">
        <v>54</v>
      </c>
      <c r="B7" s="93" t="s">
        <v>55</v>
      </c>
      <c r="C7" s="88" t="s">
        <v>56</v>
      </c>
    </row>
    <row r="8" spans="1:3" x14ac:dyDescent="0.2">
      <c r="A8" s="91" t="s">
        <v>14</v>
      </c>
      <c r="B8" s="128">
        <v>0</v>
      </c>
      <c r="C8" s="129">
        <f>B8+(B8/70*15)</f>
        <v>0</v>
      </c>
    </row>
    <row r="9" spans="1:3" x14ac:dyDescent="0.2">
      <c r="A9" s="91" t="s">
        <v>15</v>
      </c>
      <c r="B9" s="94">
        <v>490360386</v>
      </c>
      <c r="C9" s="92">
        <f t="shared" ref="C9" si="0">B9+(B9/70*15)</f>
        <v>595437611.57142854</v>
      </c>
    </row>
    <row r="10" spans="1:3" x14ac:dyDescent="0.2">
      <c r="A10" s="91" t="s">
        <v>16</v>
      </c>
      <c r="B10" s="94">
        <v>522944246</v>
      </c>
      <c r="C10" s="92">
        <f>B10+(B10/70*15)</f>
        <v>635003727.28571427</v>
      </c>
    </row>
    <row r="11" spans="1:3" x14ac:dyDescent="0.2">
      <c r="A11" s="91" t="s">
        <v>17</v>
      </c>
      <c r="B11" s="128">
        <v>0</v>
      </c>
      <c r="C11" s="129">
        <f>B11+(B11/70*15)</f>
        <v>0</v>
      </c>
    </row>
    <row r="12" spans="1:3" x14ac:dyDescent="0.2">
      <c r="A12" s="91" t="s">
        <v>18</v>
      </c>
      <c r="B12" s="94">
        <v>315155368</v>
      </c>
      <c r="C12" s="92">
        <f>B12+(B12/70*15)</f>
        <v>382688661.14285713</v>
      </c>
    </row>
    <row r="13" spans="1:3" x14ac:dyDescent="0.2">
      <c r="A13" s="87" t="s">
        <v>19</v>
      </c>
      <c r="B13" s="95">
        <v>56100000</v>
      </c>
      <c r="C13" s="90">
        <f t="shared" ref="C13:C20" si="1">B13</f>
        <v>56100000</v>
      </c>
    </row>
    <row r="14" spans="1:3" x14ac:dyDescent="0.2">
      <c r="A14" s="87" t="s">
        <v>20</v>
      </c>
      <c r="B14" s="95">
        <v>473280000</v>
      </c>
      <c r="C14" s="90">
        <f t="shared" si="1"/>
        <v>473280000</v>
      </c>
    </row>
    <row r="15" spans="1:3" x14ac:dyDescent="0.2">
      <c r="A15" s="87" t="s">
        <v>21</v>
      </c>
      <c r="B15" s="95">
        <v>214200000</v>
      </c>
      <c r="C15" s="90">
        <f t="shared" si="1"/>
        <v>214200000</v>
      </c>
    </row>
    <row r="16" spans="1:3" x14ac:dyDescent="0.2">
      <c r="A16" s="87" t="s">
        <v>22</v>
      </c>
      <c r="B16" s="95">
        <v>258060000</v>
      </c>
      <c r="C16" s="90">
        <f t="shared" si="1"/>
        <v>258060000</v>
      </c>
    </row>
    <row r="17" spans="1:3" x14ac:dyDescent="0.2">
      <c r="A17" s="87" t="s">
        <v>23</v>
      </c>
      <c r="B17" s="95">
        <v>448800000</v>
      </c>
      <c r="C17" s="90">
        <f t="shared" si="1"/>
        <v>448800000</v>
      </c>
    </row>
    <row r="18" spans="1:3" x14ac:dyDescent="0.2">
      <c r="A18" s="87" t="s">
        <v>24</v>
      </c>
      <c r="B18" s="95">
        <v>224400000</v>
      </c>
      <c r="C18" s="90">
        <f t="shared" si="1"/>
        <v>224400000</v>
      </c>
    </row>
    <row r="19" spans="1:3" x14ac:dyDescent="0.2">
      <c r="A19" s="87" t="s">
        <v>25</v>
      </c>
      <c r="B19" s="95">
        <v>88019370</v>
      </c>
      <c r="C19" s="90">
        <f t="shared" si="1"/>
        <v>88019370</v>
      </c>
    </row>
    <row r="20" spans="1:3" x14ac:dyDescent="0.2">
      <c r="A20" s="87" t="s">
        <v>26</v>
      </c>
      <c r="B20" s="95">
        <v>464610000</v>
      </c>
      <c r="C20" s="90">
        <f t="shared" si="1"/>
        <v>464610000</v>
      </c>
    </row>
    <row r="21" spans="1:3" ht="15.75" customHeight="1" x14ac:dyDescent="0.2">
      <c r="A21" s="86" t="s">
        <v>57</v>
      </c>
      <c r="B21" s="96">
        <f>SUM(B8:B20)</f>
        <v>3555929370</v>
      </c>
      <c r="C21" s="89">
        <f>SUM(C8:C20)</f>
        <v>3840599370</v>
      </c>
    </row>
    <row r="24" spans="1:3" ht="55.5" customHeight="1" x14ac:dyDescent="0.2">
      <c r="A24" s="161" t="s">
        <v>58</v>
      </c>
      <c r="B24" s="161"/>
      <c r="C24" s="161"/>
    </row>
    <row r="25" spans="1:3" ht="54.75" customHeight="1" x14ac:dyDescent="0.2">
      <c r="A25" s="161" t="s">
        <v>59</v>
      </c>
      <c r="B25" s="162"/>
      <c r="C25" s="162"/>
    </row>
  </sheetData>
  <mergeCells count="2">
    <mergeCell ref="A24:C24"/>
    <mergeCell ref="A25:C25"/>
  </mergeCells>
  <pageMargins left="0.70866141732283472" right="0.70866141732283472" top="0.78740157480314965" bottom="0.78740157480314965"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B7F0A-9C03-4306-A9A2-1C6AA1B8D8A1}">
  <dimension ref="A1:E28"/>
  <sheetViews>
    <sheetView workbookViewId="0">
      <selection activeCell="D18" sqref="D18"/>
    </sheetView>
  </sheetViews>
  <sheetFormatPr defaultRowHeight="12.75" x14ac:dyDescent="0.2"/>
  <cols>
    <col min="1" max="1" width="17.85546875" customWidth="1"/>
    <col min="2" max="2" width="14" bestFit="1" customWidth="1"/>
    <col min="3" max="3" width="17.28515625" customWidth="1"/>
    <col min="4" max="4" width="28.140625" customWidth="1"/>
    <col min="5" max="5" width="18.5703125" customWidth="1"/>
  </cols>
  <sheetData>
    <row r="1" spans="1:5" ht="18.75" x14ac:dyDescent="0.3">
      <c r="A1" s="1" t="s">
        <v>60</v>
      </c>
    </row>
    <row r="2" spans="1:5" ht="21" x14ac:dyDescent="0.35">
      <c r="A2" s="100"/>
      <c r="B2" s="100"/>
      <c r="C2" s="100"/>
      <c r="D2" s="100"/>
      <c r="E2" s="100"/>
    </row>
    <row r="3" spans="1:5" ht="25.5" x14ac:dyDescent="0.2">
      <c r="A3" s="165" t="s">
        <v>61</v>
      </c>
      <c r="B3" s="166"/>
      <c r="C3" s="167"/>
      <c r="D3" s="101" t="s">
        <v>62</v>
      </c>
      <c r="E3" s="174" t="s">
        <v>63</v>
      </c>
    </row>
    <row r="4" spans="1:5" x14ac:dyDescent="0.2">
      <c r="A4" s="168"/>
      <c r="B4" s="169"/>
      <c r="C4" s="170"/>
      <c r="D4" s="174" t="s">
        <v>64</v>
      </c>
      <c r="E4" s="175"/>
    </row>
    <row r="5" spans="1:5" x14ac:dyDescent="0.2">
      <c r="A5" s="168"/>
      <c r="B5" s="169"/>
      <c r="C5" s="170"/>
      <c r="D5" s="175"/>
      <c r="E5" s="175"/>
    </row>
    <row r="6" spans="1:5" x14ac:dyDescent="0.2">
      <c r="A6" s="171"/>
      <c r="B6" s="172"/>
      <c r="C6" s="173"/>
      <c r="D6" s="176"/>
      <c r="E6" s="176"/>
    </row>
    <row r="7" spans="1:5" x14ac:dyDescent="0.2">
      <c r="A7" s="102" t="s">
        <v>65</v>
      </c>
      <c r="B7" s="103" t="s">
        <v>66</v>
      </c>
      <c r="C7" s="103" t="s">
        <v>67</v>
      </c>
      <c r="D7" s="104">
        <f>D8+D14</f>
        <v>170267</v>
      </c>
      <c r="E7" s="105"/>
    </row>
    <row r="8" spans="1:5" ht="25.5" x14ac:dyDescent="0.2">
      <c r="A8" s="124" t="s">
        <v>68</v>
      </c>
      <c r="B8" s="106"/>
      <c r="C8" s="107" t="s">
        <v>67</v>
      </c>
      <c r="D8" s="104">
        <f>SUM(D9:D13)</f>
        <v>73605</v>
      </c>
      <c r="E8" s="126">
        <f>SUM(E9:E13)</f>
        <v>251978440</v>
      </c>
    </row>
    <row r="9" spans="1:5" x14ac:dyDescent="0.2">
      <c r="A9" s="109" t="s">
        <v>18</v>
      </c>
      <c r="B9" s="103" t="s">
        <v>69</v>
      </c>
      <c r="C9" s="103" t="s">
        <v>67</v>
      </c>
      <c r="D9" s="104">
        <v>24034</v>
      </c>
      <c r="E9" s="108">
        <f>PRODUCT(D9*$E$26)</f>
        <v>82277696.174988121</v>
      </c>
    </row>
    <row r="10" spans="1:5" x14ac:dyDescent="0.2">
      <c r="A10" s="110" t="s">
        <v>14</v>
      </c>
      <c r="B10" s="111" t="s">
        <v>70</v>
      </c>
      <c r="C10" s="107" t="s">
        <v>67</v>
      </c>
      <c r="D10" s="112">
        <v>9399</v>
      </c>
      <c r="E10" s="108">
        <f t="shared" ref="E10:E13" si="0">PRODUCT(D10*$E$26)</f>
        <v>32176419.503566336</v>
      </c>
    </row>
    <row r="11" spans="1:5" x14ac:dyDescent="0.2">
      <c r="A11" s="113" t="s">
        <v>17</v>
      </c>
      <c r="B11" s="114" t="s">
        <v>71</v>
      </c>
      <c r="C11" s="103" t="s">
        <v>67</v>
      </c>
      <c r="D11" s="115">
        <v>9230</v>
      </c>
      <c r="E11" s="108">
        <f t="shared" si="0"/>
        <v>31597867.009034712</v>
      </c>
    </row>
    <row r="12" spans="1:5" x14ac:dyDescent="0.2">
      <c r="A12" s="113" t="s">
        <v>16</v>
      </c>
      <c r="B12" s="114" t="s">
        <v>72</v>
      </c>
      <c r="C12" s="107" t="s">
        <v>67</v>
      </c>
      <c r="D12" s="115">
        <v>8599</v>
      </c>
      <c r="E12" s="108">
        <f t="shared" si="0"/>
        <v>29437709.47028055</v>
      </c>
    </row>
    <row r="13" spans="1:5" x14ac:dyDescent="0.2">
      <c r="A13" s="113" t="s">
        <v>15</v>
      </c>
      <c r="B13" s="114" t="s">
        <v>73</v>
      </c>
      <c r="C13" s="103" t="s">
        <v>67</v>
      </c>
      <c r="D13" s="115">
        <v>22343</v>
      </c>
      <c r="E13" s="108">
        <f t="shared" si="0"/>
        <v>76488747.842130288</v>
      </c>
    </row>
    <row r="14" spans="1:5" ht="25.5" x14ac:dyDescent="0.2">
      <c r="A14" s="125" t="s">
        <v>74</v>
      </c>
      <c r="B14" s="114"/>
      <c r="C14" s="107" t="s">
        <v>67</v>
      </c>
      <c r="D14" s="115">
        <f>SUM(D15:D22)</f>
        <v>96662</v>
      </c>
      <c r="E14" s="126">
        <f>SUM(E15:E22)</f>
        <v>451555870</v>
      </c>
    </row>
    <row r="15" spans="1:5" x14ac:dyDescent="0.2">
      <c r="A15" s="116" t="s">
        <v>19</v>
      </c>
      <c r="B15" s="114" t="s">
        <v>75</v>
      </c>
      <c r="C15" s="103" t="s">
        <v>67</v>
      </c>
      <c r="D15" s="115">
        <v>6008</v>
      </c>
      <c r="E15" s="108">
        <f>PRODUCT(D15*$E$27)</f>
        <v>28066330.791417517</v>
      </c>
    </row>
    <row r="16" spans="1:5" x14ac:dyDescent="0.2">
      <c r="A16" s="116" t="s">
        <v>25</v>
      </c>
      <c r="B16" s="114" t="s">
        <v>76</v>
      </c>
      <c r="C16" s="107" t="s">
        <v>67</v>
      </c>
      <c r="D16" s="115">
        <v>17727</v>
      </c>
      <c r="E16" s="108">
        <f t="shared" ref="E16:E22" si="1">PRODUCT(D16*$E$27)</f>
        <v>82811558.911361232</v>
      </c>
    </row>
    <row r="17" spans="1:5" x14ac:dyDescent="0.2">
      <c r="A17" s="116" t="s">
        <v>21</v>
      </c>
      <c r="B17" s="114" t="s">
        <v>77</v>
      </c>
      <c r="C17" s="103" t="s">
        <v>67</v>
      </c>
      <c r="D17" s="115">
        <v>8638</v>
      </c>
      <c r="E17" s="108">
        <f t="shared" si="1"/>
        <v>40352357.752374254</v>
      </c>
    </row>
    <row r="18" spans="1:5" ht="25.5" x14ac:dyDescent="0.2">
      <c r="A18" s="116" t="s">
        <v>20</v>
      </c>
      <c r="B18" s="114" t="s">
        <v>78</v>
      </c>
      <c r="C18" s="107" t="s">
        <v>67</v>
      </c>
      <c r="D18" s="115">
        <v>10325</v>
      </c>
      <c r="E18" s="108">
        <f t="shared" si="1"/>
        <v>48233166.681322545</v>
      </c>
    </row>
    <row r="19" spans="1:5" x14ac:dyDescent="0.2">
      <c r="A19" s="116" t="s">
        <v>24</v>
      </c>
      <c r="B19" s="114" t="s">
        <v>79</v>
      </c>
      <c r="C19" s="103" t="s">
        <v>67</v>
      </c>
      <c r="D19" s="115">
        <v>9161</v>
      </c>
      <c r="E19" s="108">
        <f t="shared" si="1"/>
        <v>42795548.665142454</v>
      </c>
    </row>
    <row r="20" spans="1:5" x14ac:dyDescent="0.2">
      <c r="A20" s="116" t="s">
        <v>23</v>
      </c>
      <c r="B20" s="114" t="s">
        <v>80</v>
      </c>
      <c r="C20" s="107" t="s">
        <v>67</v>
      </c>
      <c r="D20" s="115">
        <v>12593</v>
      </c>
      <c r="E20" s="108">
        <f t="shared" si="1"/>
        <v>58828113.125219837</v>
      </c>
    </row>
    <row r="21" spans="1:5" x14ac:dyDescent="0.2">
      <c r="A21" s="116" t="s">
        <v>26</v>
      </c>
      <c r="B21" s="114" t="s">
        <v>81</v>
      </c>
      <c r="C21" s="103" t="s">
        <v>67</v>
      </c>
      <c r="D21" s="115">
        <v>10013</v>
      </c>
      <c r="E21" s="108">
        <f t="shared" si="1"/>
        <v>46775660.821315512</v>
      </c>
    </row>
    <row r="22" spans="1:5" ht="25.5" x14ac:dyDescent="0.2">
      <c r="A22" s="117" t="s">
        <v>22</v>
      </c>
      <c r="B22" s="118" t="s">
        <v>82</v>
      </c>
      <c r="C22" s="138" t="s">
        <v>67</v>
      </c>
      <c r="D22" s="119">
        <v>22197</v>
      </c>
      <c r="E22" s="108">
        <f t="shared" si="1"/>
        <v>103693133.25184664</v>
      </c>
    </row>
    <row r="25" spans="1:5" ht="38.25" x14ac:dyDescent="0.2">
      <c r="A25" s="120" t="s">
        <v>83</v>
      </c>
      <c r="B25" s="177" t="s">
        <v>63</v>
      </c>
      <c r="C25" s="178"/>
      <c r="D25" s="121" t="s">
        <v>84</v>
      </c>
      <c r="E25" s="121" t="s">
        <v>85</v>
      </c>
    </row>
    <row r="26" spans="1:5" x14ac:dyDescent="0.2">
      <c r="A26" s="74" t="s">
        <v>68</v>
      </c>
      <c r="B26" s="163">
        <v>251978440</v>
      </c>
      <c r="C26" s="164"/>
      <c r="D26" s="75">
        <f>D8</f>
        <v>73605</v>
      </c>
      <c r="E26" s="122">
        <f>B26/D26</f>
        <v>3423.3875416072278</v>
      </c>
    </row>
    <row r="27" spans="1:5" ht="25.5" x14ac:dyDescent="0.2">
      <c r="A27" s="123" t="s">
        <v>74</v>
      </c>
      <c r="B27" s="163">
        <v>451555870</v>
      </c>
      <c r="C27" s="164"/>
      <c r="D27" s="75">
        <f>D14</f>
        <v>96662</v>
      </c>
      <c r="E27" s="122">
        <f>B27/D27</f>
        <v>4671.4931410481886</v>
      </c>
    </row>
    <row r="28" spans="1:5" x14ac:dyDescent="0.2">
      <c r="B28" s="127">
        <f>SUM(B26:C27)</f>
        <v>703534310</v>
      </c>
    </row>
  </sheetData>
  <mergeCells count="6">
    <mergeCell ref="B27:C27"/>
    <mergeCell ref="A3:C6"/>
    <mergeCell ref="E3:E6"/>
    <mergeCell ref="D4:D6"/>
    <mergeCell ref="B25:C25"/>
    <mergeCell ref="B26:C26"/>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a867a263-4c00-4944-a435-72febfd70997">
      <UserInfo>
        <DisplayName/>
        <AccountId xsi:nil="true"/>
        <AccountType/>
      </UserInfo>
    </SharedWithUsers>
    <MediaLengthInSeconds xmlns="ae529b29-b2bb-4f0f-bf76-47ede62a77b9" xsi:nil="true"/>
    <TaxCatchAll xmlns="a867a263-4c00-4944-a435-72febfd70997"/>
    <lcf76f155ced4ddcb4097134ff3c332f xmlns="ae529b29-b2bb-4f0f-bf76-47ede62a77b9">
      <Terms xmlns="http://schemas.microsoft.com/office/infopath/2007/PartnerControls"/>
    </lcf76f155ced4ddcb4097134ff3c332f>
    <_Flow_SignoffStatus xmlns="ae529b29-b2bb-4f0f-bf76-47ede62a77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C60E23A6042254D9AC27A8652D978CA" ma:contentTypeVersion="20" ma:contentTypeDescription="Vytvoří nový dokument" ma:contentTypeScope="" ma:versionID="6bab98e9f5207bb7cd2c76b0a70adc5f">
  <xsd:schema xmlns:xsd="http://www.w3.org/2001/XMLSchema" xmlns:xs="http://www.w3.org/2001/XMLSchema" xmlns:p="http://schemas.microsoft.com/office/2006/metadata/properties" xmlns:ns2="ae529b29-b2bb-4f0f-bf76-47ede62a77b9" xmlns:ns3="a867a263-4c00-4944-a435-72febfd70997" targetNamespace="http://schemas.microsoft.com/office/2006/metadata/properties" ma:root="true" ma:fieldsID="40f55ac17078f2426f794eeb1412172c" ns2:_="" ns3:_="">
    <xsd:import namespace="ae529b29-b2bb-4f0f-bf76-47ede62a77b9"/>
    <xsd:import namespace="a867a263-4c00-4944-a435-72febfd709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3:TaxCatchAll" minOccurs="0"/>
                <xsd:element ref="ns2:lcf76f155ced4ddcb4097134ff3c332f"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29b29-b2bb-4f0f-bf76-47ede62a77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tav odsouhlasení" ma:internalName="Stav_x0020_odsouhlasen_x00ed_">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Značky obrázků"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7a263-4c00-4944-a435-72febfd7099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2" nillable="true" ma:displayName="Taxonomy Catch All Column" ma:hidden="true" ma:list="{4b6e955f-6355-4a61-ae3b-658e8d2c932c}" ma:internalName="TaxCatchAll" ma:showField="CatchAllData" ma:web="a867a263-4c00-4944-a435-72febfd709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388B7-CC0C-4045-9D78-3FBDFFE5BA78}">
  <ds:schemaRefs>
    <ds:schemaRef ds:uri="http://purl.org/dc/terms/"/>
    <ds:schemaRef ds:uri="http://purl.org/dc/dcmitype/"/>
    <ds:schemaRef ds:uri="http://purl.org/dc/elements/1.1/"/>
    <ds:schemaRef ds:uri="a867a263-4c00-4944-a435-72febfd70997"/>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e529b29-b2bb-4f0f-bf76-47ede62a77b9"/>
    <ds:schemaRef ds:uri="http://schemas.microsoft.com/office/2006/metadata/properties"/>
  </ds:schemaRefs>
</ds:datastoreItem>
</file>

<file path=customXml/itemProps2.xml><?xml version="1.0" encoding="utf-8"?>
<ds:datastoreItem xmlns:ds="http://schemas.openxmlformats.org/officeDocument/2006/customXml" ds:itemID="{EC9670F4-1F32-4201-A9A8-172A4A42111E}">
  <ds:schemaRefs>
    <ds:schemaRef ds:uri="http://schemas.microsoft.com/sharepoint/v3/contenttype/forms"/>
  </ds:schemaRefs>
</ds:datastoreItem>
</file>

<file path=customXml/itemProps3.xml><?xml version="1.0" encoding="utf-8"?>
<ds:datastoreItem xmlns:ds="http://schemas.openxmlformats.org/officeDocument/2006/customXml" ds:itemID="{FFB0C41C-21B5-4B4C-88F5-66EAD03B9A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29b29-b2bb-4f0f-bf76-47ede62a77b9"/>
    <ds:schemaRef ds:uri="a867a263-4c00-4944-a435-72febfd709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7</vt:i4>
      </vt:variant>
    </vt:vector>
  </HeadingPairs>
  <TitlesOfParts>
    <vt:vector size="7" baseType="lpstr">
      <vt:lpstr>Klíč silnice_final</vt:lpstr>
      <vt:lpstr>Klíč ZZS_původni</vt:lpstr>
      <vt:lpstr>Klíč ZZS_2023 městečka bezpečí</vt:lpstr>
      <vt:lpstr>Klíč ZZS_2025_SOS112</vt:lpstr>
      <vt:lpstr>Klíč SŠ</vt:lpstr>
      <vt:lpstr>Klíč_DI nová 5_2023</vt:lpstr>
      <vt:lpstr>Klíč_Speciální školy</vt:lpstr>
    </vt:vector>
  </TitlesOfParts>
  <Manager/>
  <Company>Ministerstvo pro místní rozvoj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Pergl Ondřej</dc:creator>
  <cp:keywords/>
  <dc:description/>
  <cp:lastModifiedBy>Puršl František</cp:lastModifiedBy>
  <cp:revision/>
  <dcterms:created xsi:type="dcterms:W3CDTF">2021-05-07T10:59:53Z</dcterms:created>
  <dcterms:modified xsi:type="dcterms:W3CDTF">2025-09-22T11:25:04Z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0x010100FC60E23A6042254D9AC27A8652D978CA</vt:lpwstr>
  </property>
  <property fmtid="{D5CDD505-2E9C-101B-9397-08002B2CF9AE}" pid="3" name="MediaServiceImageTags">
    <vt:lpwstr/>
  </property>
  <property fmtid="{D5CDD505-2E9C-101B-9397-08002B2CF9AE}" pid="4" name="Order">
    <vt:r8>2466300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