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cz.sharepoint.com/sites/52/52_SHP/182/Agendy/Územní dimenze/RAP/RAP 2021+/Rozpad alokace/"/>
    </mc:Choice>
  </mc:AlternateContent>
  <xr:revisionPtr revIDLastSave="0" documentId="8_{58B71B26-AD3A-4605-9CF8-1DFE3BE97838}" xr6:coauthVersionLast="47" xr6:coauthVersionMax="47" xr10:uidLastSave="{00000000-0000-0000-0000-000000000000}"/>
  <bookViews>
    <workbookView xWindow="-23148" yWindow="-108" windowWidth="23256" windowHeight="12576" xr2:uid="{01271AF9-E4D0-42DC-97C7-777B84D50E20}"/>
  </bookViews>
  <sheets>
    <sheet name="Klíč silnice_final" sheetId="1" r:id="rId1"/>
    <sheet name="Klíč ZZS_final" sheetId="2" r:id="rId2"/>
    <sheet name="Klíč SŠ" sheetId="3" r:id="rId3"/>
    <sheet name="Klíč_DI" sheetId="5" r:id="rId4"/>
    <sheet name="milníky" sheetId="7" r:id="rId5"/>
  </sheets>
  <externalReferences>
    <externalReference r:id="rId6"/>
    <externalReference r:id="rId7"/>
  </externalReferences>
  <definedNames>
    <definedName name="detail.SCall">[1]model!$B$32:$B$153</definedName>
    <definedName name="EFRR_SC_Tab_AP">'[1]alokace zjedn. AP - po aktivit.'!$E$8:$E$24</definedName>
    <definedName name="iti.kr">[1]model!$H$189:$H$201</definedName>
    <definedName name="ITI.pocetobci">[1]model!$D$189:$D$201</definedName>
    <definedName name="iti.pocetobyvatel">[1]model!$F$189:$F$201</definedName>
    <definedName name="iti.rozloha">[1]model!$E$189:$E$201</definedName>
    <definedName name="Klimakody.Kod.nazev">'[1]rozpad do aktivit v % + klima'!$C$2:$D$53</definedName>
    <definedName name="nazvy_SC_Tab_AP">'[1]alokace zjedn. AP - po aktivit.'!$C$8:$C$24</definedName>
    <definedName name="PO1celkem">'[2]finanční tabulky'!$L$28:$L$33</definedName>
    <definedName name="PO2celkem">'[2]finanční tabulky'!$L$34:$L$59</definedName>
    <definedName name="PO3celkem">'[2]finanční tabulky'!$L$60:$L$63</definedName>
    <definedName name="PO4celkem">'[2]finanční tabulky'!$L$64:$L$81</definedName>
    <definedName name="PO5celkem">'[2]finanční tabulky'!$L$82:$L$87</definedName>
    <definedName name="priosaSC1KR">'[2]finanční tabulky'!$D$28:$D$33</definedName>
    <definedName name="priosaSC31KR">'[2]finanční tabulky'!$D$60:$D$63</definedName>
    <definedName name="Procenta_SC_Tab_AP">'[1]alokace zjedn. AP - po aktivit.'!$F$8:$F$24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7" l="1"/>
  <c r="B4" i="5" l="1"/>
  <c r="B3" i="5"/>
  <c r="B29" i="2"/>
  <c r="B28" i="3" l="1"/>
  <c r="B27" i="3"/>
  <c r="B27" i="1" l="1"/>
  <c r="B28" i="2"/>
  <c r="B3" i="3" l="1"/>
  <c r="F54" i="7" l="1"/>
  <c r="F55" i="7"/>
  <c r="F56" i="7"/>
  <c r="F57" i="7"/>
  <c r="F53" i="7"/>
  <c r="B51" i="7"/>
  <c r="B52" i="7"/>
  <c r="B53" i="7"/>
  <c r="B54" i="7"/>
  <c r="B55" i="7"/>
  <c r="B50" i="7"/>
  <c r="D50" i="7" s="1"/>
  <c r="D51" i="7" s="1"/>
  <c r="D52" i="7" s="1"/>
  <c r="H53" i="7"/>
  <c r="D49" i="7"/>
  <c r="B6" i="3"/>
  <c r="I35" i="7" s="1"/>
  <c r="F45" i="7" s="1"/>
  <c r="D37" i="7"/>
  <c r="B6" i="2"/>
  <c r="I24" i="7" s="1"/>
  <c r="D26" i="7"/>
  <c r="D14" i="7"/>
  <c r="B40" i="7" l="1"/>
  <c r="F43" i="7"/>
  <c r="B38" i="7"/>
  <c r="D38" i="7" s="1"/>
  <c r="B39" i="7"/>
  <c r="F42" i="7"/>
  <c r="B43" i="7"/>
  <c r="F41" i="7"/>
  <c r="H41" i="7" s="1"/>
  <c r="B42" i="7"/>
  <c r="F44" i="7"/>
  <c r="B41" i="7"/>
  <c r="B30" i="7"/>
  <c r="F30" i="7"/>
  <c r="H30" i="7" s="1"/>
  <c r="F31" i="7"/>
  <c r="B27" i="7"/>
  <c r="D27" i="7" s="1"/>
  <c r="B29" i="7"/>
  <c r="F34" i="7"/>
  <c r="B32" i="7"/>
  <c r="B28" i="7"/>
  <c r="F33" i="7"/>
  <c r="B31" i="7"/>
  <c r="F32" i="7"/>
  <c r="D53" i="7"/>
  <c r="D54" i="7" s="1"/>
  <c r="D55" i="7" s="1"/>
  <c r="H54" i="7"/>
  <c r="H55" i="7" s="1"/>
  <c r="H56" i="7" s="1"/>
  <c r="H57" i="7" s="1"/>
  <c r="D23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5" i="3"/>
  <c r="C4" i="3"/>
  <c r="C3" i="3"/>
  <c r="D22" i="2"/>
  <c r="D21" i="2"/>
  <c r="D20" i="2"/>
  <c r="D19" i="2"/>
  <c r="D18" i="2"/>
  <c r="D17" i="2"/>
  <c r="D16" i="2"/>
  <c r="D15" i="2"/>
  <c r="D11" i="2"/>
  <c r="D12" i="2"/>
  <c r="D13" i="2"/>
  <c r="D14" i="2"/>
  <c r="D10" i="2"/>
  <c r="C23" i="2"/>
  <c r="C5" i="2"/>
  <c r="C4" i="2"/>
  <c r="D10" i="1"/>
  <c r="D11" i="1"/>
  <c r="D12" i="1"/>
  <c r="D13" i="1"/>
  <c r="D9" i="1"/>
  <c r="C3" i="1"/>
  <c r="E23" i="3" l="1"/>
  <c r="C6" i="3"/>
  <c r="E14" i="2"/>
  <c r="C6" i="2"/>
  <c r="D39" i="7"/>
  <c r="D40" i="7" s="1"/>
  <c r="D41" i="7" s="1"/>
  <c r="D42" i="7" s="1"/>
  <c r="D43" i="7" s="1"/>
  <c r="H42" i="7"/>
  <c r="H43" i="7" s="1"/>
  <c r="H44" i="7" s="1"/>
  <c r="H45" i="7" s="1"/>
  <c r="H31" i="7"/>
  <c r="H32" i="7" s="1"/>
  <c r="H33" i="7" s="1"/>
  <c r="H34" i="7" s="1"/>
  <c r="D28" i="7"/>
  <c r="D29" i="7" s="1"/>
  <c r="D30" i="7" s="1"/>
  <c r="D31" i="7" s="1"/>
  <c r="D32" i="7" s="1"/>
  <c r="E10" i="1"/>
  <c r="E11" i="1"/>
  <c r="E12" i="1"/>
  <c r="E13" i="1"/>
  <c r="E9" i="1"/>
  <c r="E22" i="2"/>
  <c r="E16" i="2"/>
  <c r="E15" i="2"/>
  <c r="C24" i="3"/>
  <c r="E19" i="2"/>
  <c r="E20" i="2"/>
  <c r="H23" i="3"/>
  <c r="E17" i="2"/>
  <c r="E21" i="2"/>
  <c r="E18" i="2"/>
  <c r="E13" i="2"/>
  <c r="E11" i="2"/>
  <c r="E12" i="2"/>
  <c r="E10" i="2"/>
  <c r="I13" i="1"/>
  <c r="B21" i="5"/>
  <c r="F10" i="2" l="1"/>
  <c r="G10" i="2" s="1"/>
  <c r="F14" i="2"/>
  <c r="G14" i="2" s="1"/>
  <c r="F12" i="2"/>
  <c r="G12" i="2" s="1"/>
  <c r="F11" i="2"/>
  <c r="G11" i="2" s="1"/>
  <c r="F13" i="2"/>
  <c r="G13" i="2" s="1"/>
  <c r="F18" i="2"/>
  <c r="G18" i="2" s="1"/>
  <c r="F21" i="2"/>
  <c r="G21" i="2" s="1"/>
  <c r="F17" i="2"/>
  <c r="G17" i="2" s="1"/>
  <c r="F20" i="2"/>
  <c r="G20" i="2" s="1"/>
  <c r="F19" i="2"/>
  <c r="G19" i="2" s="1"/>
  <c r="F15" i="2"/>
  <c r="G15" i="2" s="1"/>
  <c r="F16" i="2"/>
  <c r="G16" i="2" s="1"/>
  <c r="F22" i="2"/>
  <c r="G22" i="2" s="1"/>
  <c r="I9" i="1"/>
  <c r="I12" i="1"/>
  <c r="I11" i="1"/>
  <c r="I10" i="1"/>
  <c r="C20" i="5" l="1"/>
  <c r="C19" i="5"/>
  <c r="C18" i="5"/>
  <c r="C17" i="5"/>
  <c r="C16" i="5"/>
  <c r="C15" i="5"/>
  <c r="C14" i="5"/>
  <c r="C10" i="5"/>
  <c r="C13" i="5"/>
  <c r="C12" i="5"/>
  <c r="C11" i="5"/>
  <c r="C9" i="5"/>
  <c r="C8" i="5"/>
  <c r="C3" i="5" l="1"/>
  <c r="C4" i="5"/>
  <c r="C21" i="5"/>
  <c r="C27" i="1"/>
  <c r="C28" i="2" l="1"/>
  <c r="C27" i="3"/>
  <c r="C28" i="3"/>
  <c r="C26" i="3"/>
  <c r="C29" i="2" l="1"/>
  <c r="D45" i="3" l="1"/>
  <c r="E39" i="2"/>
  <c r="E40" i="2"/>
  <c r="E41" i="2"/>
  <c r="E42" i="2"/>
  <c r="E43" i="2"/>
  <c r="E44" i="2"/>
  <c r="E45" i="2"/>
  <c r="E38" i="2"/>
  <c r="D39" i="2"/>
  <c r="D40" i="2"/>
  <c r="D41" i="2"/>
  <c r="D42" i="2"/>
  <c r="D43" i="2"/>
  <c r="D44" i="2"/>
  <c r="D45" i="2"/>
  <c r="D38" i="2"/>
  <c r="D34" i="2"/>
  <c r="D35" i="2"/>
  <c r="D36" i="2"/>
  <c r="D37" i="2"/>
  <c r="D33" i="2"/>
  <c r="E34" i="2"/>
  <c r="E35" i="2"/>
  <c r="E36" i="2"/>
  <c r="E37" i="2"/>
  <c r="E33" i="2"/>
  <c r="D34" i="1"/>
  <c r="D35" i="1"/>
  <c r="D36" i="1"/>
  <c r="D37" i="1"/>
  <c r="D33" i="1"/>
  <c r="F36" i="2" l="1"/>
  <c r="F35" i="2"/>
  <c r="F45" i="2"/>
  <c r="F41" i="2"/>
  <c r="F33" i="2"/>
  <c r="F39" i="2"/>
  <c r="F42" i="2"/>
  <c r="F44" i="2"/>
  <c r="F40" i="2"/>
  <c r="F43" i="2"/>
  <c r="F38" i="2"/>
  <c r="F34" i="2"/>
  <c r="F37" i="2"/>
  <c r="C45" i="3" l="1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E45" i="3"/>
  <c r="C46" i="2"/>
  <c r="D32" i="3" l="1"/>
  <c r="E10" i="3"/>
  <c r="D10" i="3"/>
  <c r="D11" i="3"/>
  <c r="E11" i="3"/>
  <c r="D12" i="3"/>
  <c r="E12" i="3"/>
  <c r="D13" i="3"/>
  <c r="E13" i="3"/>
  <c r="D14" i="3"/>
  <c r="E14" i="3"/>
  <c r="D37" i="3"/>
  <c r="E15" i="3"/>
  <c r="D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33" i="3"/>
  <c r="D34" i="3"/>
  <c r="D35" i="3"/>
  <c r="D36" i="3"/>
  <c r="D38" i="3"/>
  <c r="D39" i="3"/>
  <c r="D40" i="3"/>
  <c r="D41" i="3"/>
  <c r="D42" i="3"/>
  <c r="D43" i="3"/>
  <c r="D44" i="3"/>
  <c r="E43" i="3"/>
  <c r="H43" i="3" s="1"/>
  <c r="G36" i="2"/>
  <c r="G35" i="2"/>
  <c r="G34" i="2"/>
  <c r="G33" i="2"/>
  <c r="G39" i="2"/>
  <c r="E35" i="1"/>
  <c r="E36" i="1"/>
  <c r="E37" i="1"/>
  <c r="E34" i="1"/>
  <c r="E33" i="1"/>
  <c r="I33" i="1" s="1"/>
  <c r="G44" i="2"/>
  <c r="G40" i="2"/>
  <c r="G38" i="2"/>
  <c r="G43" i="2"/>
  <c r="G37" i="2"/>
  <c r="G41" i="2"/>
  <c r="G42" i="2"/>
  <c r="E35" i="3"/>
  <c r="E33" i="3"/>
  <c r="G45" i="2"/>
  <c r="H45" i="3"/>
  <c r="C46" i="3"/>
  <c r="E32" i="3"/>
  <c r="E34" i="3"/>
  <c r="E36" i="3"/>
  <c r="E38" i="3"/>
  <c r="E40" i="3"/>
  <c r="E42" i="3"/>
  <c r="E44" i="3"/>
  <c r="E37" i="3"/>
  <c r="E39" i="3"/>
  <c r="E41" i="3"/>
  <c r="F22" i="3" l="1"/>
  <c r="G22" i="3" s="1"/>
  <c r="H22" i="3"/>
  <c r="F21" i="3"/>
  <c r="G21" i="3" s="1"/>
  <c r="H21" i="3"/>
  <c r="F20" i="3"/>
  <c r="G20" i="3" s="1"/>
  <c r="H20" i="3"/>
  <c r="F19" i="3"/>
  <c r="G19" i="3" s="1"/>
  <c r="H19" i="3"/>
  <c r="F18" i="3"/>
  <c r="G18" i="3" s="1"/>
  <c r="H18" i="3"/>
  <c r="F17" i="3"/>
  <c r="G17" i="3" s="1"/>
  <c r="H17" i="3"/>
  <c r="F16" i="3"/>
  <c r="G16" i="3" s="1"/>
  <c r="H16" i="3"/>
  <c r="F15" i="3"/>
  <c r="G15" i="3" s="1"/>
  <c r="H15" i="3"/>
  <c r="F14" i="3"/>
  <c r="G14" i="3" s="1"/>
  <c r="H14" i="3"/>
  <c r="F13" i="3"/>
  <c r="G13" i="3" s="1"/>
  <c r="H13" i="3"/>
  <c r="F12" i="3"/>
  <c r="G12" i="3" s="1"/>
  <c r="H12" i="3"/>
  <c r="F11" i="3"/>
  <c r="G11" i="3" s="1"/>
  <c r="H11" i="3"/>
  <c r="F10" i="3"/>
  <c r="G10" i="3" s="1"/>
  <c r="F23" i="3"/>
  <c r="G23" i="3" s="1"/>
  <c r="H10" i="3"/>
  <c r="I34" i="1"/>
  <c r="I37" i="1"/>
  <c r="I36" i="1"/>
  <c r="I35" i="1"/>
  <c r="H39" i="3"/>
  <c r="F39" i="3"/>
  <c r="G39" i="3" s="1"/>
  <c r="F40" i="3"/>
  <c r="G40" i="3" s="1"/>
  <c r="H40" i="3"/>
  <c r="H35" i="3"/>
  <c r="F35" i="3"/>
  <c r="G35" i="3" s="1"/>
  <c r="H41" i="3"/>
  <c r="F41" i="3"/>
  <c r="G41" i="3" s="1"/>
  <c r="F42" i="3"/>
  <c r="G42" i="3" s="1"/>
  <c r="H42" i="3"/>
  <c r="F38" i="3"/>
  <c r="G38" i="3" s="1"/>
  <c r="H38" i="3"/>
  <c r="F36" i="3"/>
  <c r="G36" i="3" s="1"/>
  <c r="H36" i="3"/>
  <c r="F32" i="3"/>
  <c r="G32" i="3" s="1"/>
  <c r="H32" i="3"/>
  <c r="F43" i="3"/>
  <c r="G43" i="3" s="1"/>
  <c r="F34" i="3"/>
  <c r="G34" i="3" s="1"/>
  <c r="H34" i="3"/>
  <c r="H37" i="3"/>
  <c r="F37" i="3"/>
  <c r="G37" i="3" s="1"/>
  <c r="F44" i="3"/>
  <c r="G44" i="3" s="1"/>
  <c r="H44" i="3"/>
  <c r="F45" i="3"/>
  <c r="G45" i="3" s="1"/>
  <c r="H33" i="3"/>
  <c r="F33" i="3"/>
  <c r="G33" i="3" s="1"/>
  <c r="D18" i="1" l="1"/>
  <c r="D16" i="1"/>
  <c r="D19" i="1"/>
  <c r="D14" i="1"/>
  <c r="D20" i="1"/>
  <c r="D17" i="1"/>
  <c r="D21" i="1"/>
  <c r="D15" i="1"/>
  <c r="B5" i="1"/>
  <c r="I12" i="7"/>
  <c r="B17" i="7" s="1"/>
  <c r="C4" i="1"/>
  <c r="B28" i="1"/>
  <c r="D44" i="1" s="1"/>
  <c r="F11" i="1" l="1"/>
  <c r="G11" i="1" s="1"/>
  <c r="C5" i="1"/>
  <c r="C28" i="1"/>
  <c r="B21" i="7"/>
  <c r="B33" i="7" s="1"/>
  <c r="B44" i="7" s="1"/>
  <c r="B56" i="7" s="1"/>
  <c r="I58" i="7"/>
  <c r="B19" i="7"/>
  <c r="B29" i="1"/>
  <c r="F21" i="7"/>
  <c r="D43" i="1"/>
  <c r="E18" i="1"/>
  <c r="E21" i="1"/>
  <c r="E16" i="1"/>
  <c r="E40" i="1"/>
  <c r="F19" i="7"/>
  <c r="F18" i="7"/>
  <c r="H18" i="7" s="1"/>
  <c r="B20" i="7"/>
  <c r="D41" i="1"/>
  <c r="D45" i="1"/>
  <c r="F34" i="1"/>
  <c r="G34" i="1" s="1"/>
  <c r="E17" i="1"/>
  <c r="E43" i="1"/>
  <c r="F10" i="1"/>
  <c r="G10" i="1" s="1"/>
  <c r="B16" i="7"/>
  <c r="D40" i="1"/>
  <c r="D39" i="1"/>
  <c r="E19" i="1"/>
  <c r="E20" i="1"/>
  <c r="E39" i="1"/>
  <c r="F12" i="1"/>
  <c r="G12" i="1" s="1"/>
  <c r="F22" i="7"/>
  <c r="E45" i="1"/>
  <c r="F9" i="1"/>
  <c r="G9" i="1" s="1"/>
  <c r="D38" i="1"/>
  <c r="F13" i="1"/>
  <c r="G13" i="1" s="1"/>
  <c r="B22" i="7"/>
  <c r="B34" i="7" s="1"/>
  <c r="B45" i="7" s="1"/>
  <c r="B57" i="7" s="1"/>
  <c r="B15" i="7"/>
  <c r="D15" i="7" s="1"/>
  <c r="E14" i="1"/>
  <c r="E15" i="1"/>
  <c r="F20" i="7"/>
  <c r="B18" i="7"/>
  <c r="D42" i="1"/>
  <c r="B62" i="7" l="1"/>
  <c r="B63" i="7"/>
  <c r="B64" i="7"/>
  <c r="B65" i="7"/>
  <c r="B66" i="7"/>
  <c r="B67" i="7"/>
  <c r="B68" i="7"/>
  <c r="B61" i="7"/>
  <c r="D61" i="7" s="1"/>
  <c r="D62" i="7" s="1"/>
  <c r="D63" i="7" s="1"/>
  <c r="D64" i="7" s="1"/>
  <c r="D65" i="7" s="1"/>
  <c r="D66" i="7" s="1"/>
  <c r="F65" i="7"/>
  <c r="F66" i="7"/>
  <c r="F67" i="7"/>
  <c r="F68" i="7"/>
  <c r="F64" i="7"/>
  <c r="H64" i="7" s="1"/>
  <c r="E38" i="1"/>
  <c r="C29" i="1"/>
  <c r="E44" i="1"/>
  <c r="E41" i="1"/>
  <c r="F33" i="1"/>
  <c r="G33" i="1" s="1"/>
  <c r="F35" i="1"/>
  <c r="G35" i="1" s="1"/>
  <c r="F36" i="1"/>
  <c r="G36" i="1" s="1"/>
  <c r="E42" i="1"/>
  <c r="F37" i="1"/>
  <c r="G37" i="1" s="1"/>
  <c r="F39" i="1"/>
  <c r="G39" i="1" s="1"/>
  <c r="I39" i="1"/>
  <c r="I18" i="1"/>
  <c r="F18" i="1"/>
  <c r="G18" i="1" s="1"/>
  <c r="F20" i="1"/>
  <c r="G20" i="1" s="1"/>
  <c r="I20" i="1"/>
  <c r="I43" i="1"/>
  <c r="F43" i="1"/>
  <c r="G43" i="1" s="1"/>
  <c r="I16" i="1"/>
  <c r="F16" i="1"/>
  <c r="G16" i="1" s="1"/>
  <c r="I44" i="1"/>
  <c r="F44" i="1"/>
  <c r="G44" i="1" s="1"/>
  <c r="F19" i="1"/>
  <c r="G19" i="1" s="1"/>
  <c r="I19" i="1"/>
  <c r="F17" i="1"/>
  <c r="G17" i="1" s="1"/>
  <c r="I17" i="1"/>
  <c r="F41" i="1"/>
  <c r="G41" i="1" s="1"/>
  <c r="I41" i="1"/>
  <c r="F21" i="1"/>
  <c r="G21" i="1" s="1"/>
  <c r="I21" i="1"/>
  <c r="I40" i="1"/>
  <c r="F40" i="1"/>
  <c r="G40" i="1" s="1"/>
  <c r="I15" i="1"/>
  <c r="F15" i="1"/>
  <c r="G15" i="1" s="1"/>
  <c r="I45" i="1"/>
  <c r="F45" i="1"/>
  <c r="G45" i="1" s="1"/>
  <c r="H19" i="7"/>
  <c r="H20" i="7" s="1"/>
  <c r="H21" i="7" s="1"/>
  <c r="H22" i="7" s="1"/>
  <c r="I14" i="1"/>
  <c r="F14" i="1"/>
  <c r="G14" i="1" s="1"/>
  <c r="D16" i="7"/>
  <c r="D17" i="7" s="1"/>
  <c r="D18" i="7" s="1"/>
  <c r="D19" i="7" s="1"/>
  <c r="D20" i="7" s="1"/>
  <c r="F42" i="1"/>
  <c r="G42" i="1" s="1"/>
  <c r="I42" i="1"/>
  <c r="H65" i="7" l="1"/>
  <c r="H66" i="7" s="1"/>
  <c r="H67" i="7" s="1"/>
  <c r="H68" i="7" s="1"/>
  <c r="F38" i="1"/>
  <c r="G38" i="1" s="1"/>
  <c r="I38" i="1"/>
</calcChain>
</file>

<file path=xl/sharedStrings.xml><?xml version="1.0" encoding="utf-8"?>
<sst xmlns="http://schemas.openxmlformats.org/spreadsheetml/2006/main" count="375" uniqueCount="81">
  <si>
    <t>IROP - klíč silnice</t>
  </si>
  <si>
    <t>EFRR</t>
  </si>
  <si>
    <t>EFRR + SR</t>
  </si>
  <si>
    <t>Přechodové</t>
  </si>
  <si>
    <t>+ 15 %</t>
  </si>
  <si>
    <t>Kč</t>
  </si>
  <si>
    <t>Méně rozvinuté</t>
  </si>
  <si>
    <t>VARIANTA 3
průměr variant 1 a 2</t>
  </si>
  <si>
    <t>Prioritní síť 
tis. km</t>
  </si>
  <si>
    <t>EFRR + SR / tis. km prioritní sítě</t>
  </si>
  <si>
    <t>tis. km</t>
  </si>
  <si>
    <t>AK %</t>
  </si>
  <si>
    <t>EFRR + SR (%)</t>
  </si>
  <si>
    <t xml:space="preserve">změna </t>
  </si>
  <si>
    <t>Jihočeský kraj</t>
  </si>
  <si>
    <t>Jihomoravský kraj</t>
  </si>
  <si>
    <t>Kraj Vysočina</t>
  </si>
  <si>
    <t>Plzeňský kraj</t>
  </si>
  <si>
    <t>Středočeský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</si>
  <si>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</si>
  <si>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</si>
  <si>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</si>
  <si>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</si>
  <si>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</si>
  <si>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</si>
  <si>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Ústecký kraj</t>
  </si>
  <si>
    <t>Zlínský kraj</t>
  </si>
  <si>
    <t>Celkem</t>
  </si>
  <si>
    <t>EUR</t>
  </si>
  <si>
    <t>IROP - klíč ZZS</t>
  </si>
  <si>
    <t>VARIANTA 11
počet výjezdových základem a výjezdových skupin (50 : 50)</t>
  </si>
  <si>
    <t>počet</t>
  </si>
  <si>
    <t>34 a 52,5</t>
  </si>
  <si>
    <t>23 a 45,5</t>
  </si>
  <si>
    <t>22 a 30</t>
  </si>
  <si>
    <t>27 a 46</t>
  </si>
  <si>
    <t>44 a 83</t>
  </si>
  <si>
    <t>13 a 22,5</t>
  </si>
  <si>
    <t>16 a 30,5</t>
  </si>
  <si>
    <t>15 a 31</t>
  </si>
  <si>
    <t>35 a 64,4</t>
  </si>
  <si>
    <t>16 a 30</t>
  </si>
  <si>
    <t>18 a 31</t>
  </si>
  <si>
    <t>22 a 44,5</t>
  </si>
  <si>
    <t>16 a 34</t>
  </si>
  <si>
    <t>IROP - klíč SŠ</t>
  </si>
  <si>
    <t>Vícerozvínuté</t>
  </si>
  <si>
    <t>+ 50 %</t>
  </si>
  <si>
    <t>+ 20 %</t>
  </si>
  <si>
    <t>+ 5 %</t>
  </si>
  <si>
    <t>Počet žáků / studentů SŠ, VOŠ a konzervatoří</t>
  </si>
  <si>
    <t>EFRR + SR / student</t>
  </si>
  <si>
    <t>Praha</t>
  </si>
  <si>
    <t>IROP - klíč deinstitucionalizace</t>
  </si>
  <si>
    <t>Popisky řádků</t>
  </si>
  <si>
    <t>Požadovaná částka z EFRR (CZK)</t>
  </si>
  <si>
    <t>EFRR + SR (CZK)</t>
  </si>
  <si>
    <t>Celkový součet</t>
  </si>
  <si>
    <r>
      <t xml:space="preserve">Podíl objemu alokace EFRR za rok </t>
    </r>
    <r>
      <rPr>
        <b/>
        <u/>
        <sz val="11"/>
        <color rgb="FF000000"/>
        <rFont val="Calibri"/>
        <family val="2"/>
        <charset val="238"/>
      </rPr>
      <t>ve výzvách</t>
    </r>
  </si>
  <si>
    <t>Roky kumulativně</t>
  </si>
  <si>
    <r>
      <t xml:space="preserve">Podíl objemu alokace EFRR kumulativně v letech </t>
    </r>
    <r>
      <rPr>
        <b/>
        <u/>
        <sz val="11"/>
        <color rgb="FF000000"/>
        <rFont val="Calibri"/>
        <family val="2"/>
        <charset val="238"/>
      </rPr>
      <t>ve výzvách</t>
    </r>
  </si>
  <si>
    <t>Rok</t>
  </si>
  <si>
    <r>
      <t xml:space="preserve">Podíl objemu alokace EFRR za rok </t>
    </r>
    <r>
      <rPr>
        <b/>
        <u/>
        <sz val="11"/>
        <color rgb="FF000000"/>
        <rFont val="Calibri"/>
        <family val="2"/>
        <charset val="238"/>
      </rPr>
      <t>v ŽoP</t>
    </r>
  </si>
  <si>
    <r>
      <t xml:space="preserve">Podíl objemu alokace EFRR kumulativně v letech </t>
    </r>
    <r>
      <rPr>
        <b/>
        <u/>
        <sz val="11"/>
        <color rgb="FF000000"/>
        <rFont val="Calibri"/>
        <family val="2"/>
        <charset val="238"/>
      </rPr>
      <t>v ŽoP</t>
    </r>
  </si>
  <si>
    <t>2021-2022</t>
  </si>
  <si>
    <t>2021-2023</t>
  </si>
  <si>
    <t>2021-2024</t>
  </si>
  <si>
    <t>2021-2025</t>
  </si>
  <si>
    <t>2021-2026</t>
  </si>
  <si>
    <t>2021-2027</t>
  </si>
  <si>
    <t>2021-2028</t>
  </si>
  <si>
    <t>2021-2029</t>
  </si>
  <si>
    <t>SILNICE</t>
  </si>
  <si>
    <r>
      <t xml:space="preserve">Objem alokace EFRR za rok </t>
    </r>
    <r>
      <rPr>
        <b/>
        <u/>
        <sz val="11"/>
        <color rgb="FF000000"/>
        <rFont val="Calibri"/>
        <family val="2"/>
        <charset val="238"/>
      </rPr>
      <t>ve výzvách</t>
    </r>
  </si>
  <si>
    <r>
      <t xml:space="preserve">Objem alokace EFRR kumulativně v letech </t>
    </r>
    <r>
      <rPr>
        <b/>
        <u/>
        <sz val="11"/>
        <color rgb="FF000000"/>
        <rFont val="Calibri"/>
        <family val="2"/>
        <charset val="238"/>
      </rPr>
      <t>ve výzvách</t>
    </r>
  </si>
  <si>
    <r>
      <t xml:space="preserve">Objem alokace EFRR za rok </t>
    </r>
    <r>
      <rPr>
        <b/>
        <u/>
        <sz val="11"/>
        <color rgb="FF000000"/>
        <rFont val="Calibri"/>
        <family val="2"/>
        <charset val="238"/>
      </rPr>
      <t>v ŽoP</t>
    </r>
  </si>
  <si>
    <r>
      <t xml:space="preserve">Objem alokace EFRR kumulativně v letech </t>
    </r>
    <r>
      <rPr>
        <b/>
        <u/>
        <sz val="11"/>
        <color rgb="FF000000"/>
        <rFont val="Calibri"/>
        <family val="2"/>
        <charset val="238"/>
      </rPr>
      <t>v ŽoP</t>
    </r>
  </si>
  <si>
    <t>ZZS</t>
  </si>
  <si>
    <t>SŠ</t>
  </si>
  <si>
    <t>DI</t>
  </si>
  <si>
    <t>RAP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</si>
</sst>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_-* #,##0.00_-;\-* #,##0.00_-;_-* &quot;-&quot;??_-;_-@_-"/>
    <numFmt numFmtId="165" formatCode="_-* #,##0_-;\-* #,##0_-;_-* &quot;-&quot;??_-;_-@_-"/>
  </numFmts>
  <fonts count="25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3F3F3F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</cellStyleXfs>
  <cellXfs count="152">
    <xf numFmtId="0" fontId="0" fillId="0" borderId="0" xfId="0"/>
    <xf numFmtId="0" fontId="3" fillId="0" borderId="0" xfId="2" applyFont="1"/>
    <xf numFmtId="0" fontId="2" fillId="0" borderId="0" xfId="2"/>
    <xf numFmtId="43" fontId="4" fillId="0" borderId="1" xfId="0" applyNumberFormat="1" applyFont="1" applyBorder="1" applyAlignment="1">
      <alignment horizontal="left"/>
    </xf>
    <xf numFmtId="165" fontId="2" fillId="0" borderId="1" xfId="2" applyNumberFormat="1" applyBorder="1"/>
    <xf numFmtId="0" fontId="2" fillId="0" borderId="1" xfId="2" applyBorder="1" applyAlignment="1">
      <alignment horizontal="center"/>
    </xf>
    <xf numFmtId="0" fontId="5" fillId="2" borderId="4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wrapText="1"/>
    </xf>
    <xf numFmtId="0" fontId="2" fillId="3" borderId="1" xfId="2" applyFill="1" applyBorder="1"/>
    <xf numFmtId="0" fontId="2" fillId="4" borderId="1" xfId="2" applyFill="1" applyBorder="1"/>
    <xf numFmtId="2" fontId="5" fillId="4" borderId="1" xfId="2" applyNumberFormat="1" applyFont="1" applyFill="1" applyBorder="1"/>
    <xf numFmtId="3" fontId="5" fillId="0" borderId="1" xfId="2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horizontal="center"/>
    </xf>
    <xf numFmtId="2" fontId="5" fillId="0" borderId="3" xfId="3" applyNumberFormat="1" applyFont="1" applyBorder="1" applyAlignment="1">
      <alignment horizontal="center"/>
    </xf>
    <xf numFmtId="165" fontId="4" fillId="0" borderId="5" xfId="1" applyNumberFormat="1" applyFont="1" applyBorder="1"/>
    <xf numFmtId="0" fontId="2" fillId="0" borderId="6" xfId="2" applyBorder="1" applyAlignment="1">
      <alignment horizontal="center"/>
    </xf>
    <xf numFmtId="0" fontId="2" fillId="2" borderId="1" xfId="2" applyFill="1" applyBorder="1" applyAlignment="1">
      <alignment wrapText="1"/>
    </xf>
    <xf numFmtId="0" fontId="2" fillId="3" borderId="1" xfId="2" applyFill="1" applyBorder="1" applyAlignment="1">
      <alignment horizontal="center"/>
    </xf>
    <xf numFmtId="2" fontId="2" fillId="3" borderId="1" xfId="2" applyNumberFormat="1" applyFill="1" applyBorder="1" applyAlignment="1">
      <alignment horizontal="center"/>
    </xf>
    <xf numFmtId="164" fontId="2" fillId="3" borderId="1" xfId="1" applyFont="1" applyFill="1" applyBorder="1" applyAlignment="1">
      <alignment horizontal="center"/>
    </xf>
    <xf numFmtId="2" fontId="2" fillId="0" borderId="1" xfId="2" applyNumberForma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5" fillId="4" borderId="1" xfId="2" applyFont="1" applyFill="1" applyBorder="1"/>
    <xf numFmtId="0" fontId="5" fillId="0" borderId="1" xfId="2" applyFont="1" applyBorder="1" applyAlignment="1">
      <alignment horizontal="center"/>
    </xf>
    <xf numFmtId="0" fontId="6" fillId="0" borderId="0" xfId="4"/>
    <xf numFmtId="43" fontId="2" fillId="0" borderId="1" xfId="0" applyNumberFormat="1" applyFont="1" applyBorder="1" applyAlignment="1">
      <alignment horizontal="left"/>
    </xf>
    <xf numFmtId="49" fontId="7" fillId="0" borderId="0" xfId="0" applyNumberFormat="1" applyFont="1"/>
    <xf numFmtId="165" fontId="2" fillId="3" borderId="1" xfId="1" applyNumberFormat="1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5" borderId="1" xfId="2" applyFill="1" applyBorder="1"/>
    <xf numFmtId="165" fontId="2" fillId="5" borderId="1" xfId="1" applyNumberFormat="1" applyFont="1" applyFill="1" applyBorder="1" applyAlignment="1">
      <alignment horizontal="center"/>
    </xf>
    <xf numFmtId="2" fontId="2" fillId="5" borderId="1" xfId="2" applyNumberFormat="1" applyFill="1" applyBorder="1" applyAlignment="1">
      <alignment horizontal="center"/>
    </xf>
    <xf numFmtId="164" fontId="2" fillId="5" borderId="1" xfId="1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8" fillId="2" borderId="1" xfId="2" applyFont="1" applyFill="1" applyBorder="1" applyAlignment="1">
      <alignment horizontal="center" wrapText="1"/>
    </xf>
    <xf numFmtId="165" fontId="5" fillId="0" borderId="1" xfId="2" applyNumberFormat="1" applyFont="1" applyBorder="1"/>
    <xf numFmtId="0" fontId="5" fillId="0" borderId="0" xfId="2" applyFont="1" applyAlignment="1">
      <alignment horizontal="center"/>
    </xf>
    <xf numFmtId="2" fontId="2" fillId="3" borderId="5" xfId="2" applyNumberFormat="1" applyFill="1" applyBorder="1" applyAlignment="1">
      <alignment horizontal="center"/>
    </xf>
    <xf numFmtId="2" fontId="2" fillId="0" borderId="5" xfId="2" applyNumberFormat="1" applyBorder="1" applyAlignment="1">
      <alignment horizontal="center"/>
    </xf>
    <xf numFmtId="2" fontId="2" fillId="5" borderId="5" xfId="2" applyNumberFormat="1" applyFill="1" applyBorder="1" applyAlignment="1">
      <alignment horizontal="center"/>
    </xf>
    <xf numFmtId="2" fontId="2" fillId="3" borderId="4" xfId="2" applyNumberFormat="1" applyFill="1" applyBorder="1" applyAlignment="1">
      <alignment horizontal="center"/>
    </xf>
    <xf numFmtId="2" fontId="2" fillId="0" borderId="4" xfId="2" applyNumberFormat="1" applyBorder="1" applyAlignment="1">
      <alignment horizontal="center"/>
    </xf>
    <xf numFmtId="2" fontId="2" fillId="5" borderId="4" xfId="2" applyNumberFormat="1" applyFill="1" applyBorder="1" applyAlignment="1">
      <alignment horizontal="center"/>
    </xf>
    <xf numFmtId="43" fontId="5" fillId="0" borderId="1" xfId="0" applyNumberFormat="1" applyFont="1" applyBorder="1" applyAlignment="1">
      <alignment horizontal="left"/>
    </xf>
    <xf numFmtId="165" fontId="5" fillId="0" borderId="1" xfId="1" applyNumberFormat="1" applyFont="1" applyBorder="1"/>
    <xf numFmtId="0" fontId="2" fillId="0" borderId="0" xfId="0" applyFont="1"/>
    <xf numFmtId="3" fontId="10" fillId="3" borderId="1" xfId="2" applyNumberFormat="1" applyFont="1" applyFill="1" applyBorder="1" applyAlignment="1">
      <alignment horizontal="center" vertical="center"/>
    </xf>
    <xf numFmtId="2" fontId="2" fillId="3" borderId="5" xfId="3" applyNumberFormat="1" applyFont="1" applyFill="1" applyBorder="1" applyAlignment="1">
      <alignment horizontal="center"/>
    </xf>
    <xf numFmtId="2" fontId="2" fillId="3" borderId="4" xfId="3" applyNumberFormat="1" applyFont="1" applyFill="1" applyBorder="1" applyAlignment="1">
      <alignment horizontal="center"/>
    </xf>
    <xf numFmtId="2" fontId="2" fillId="3" borderId="1" xfId="3" applyNumberFormat="1" applyFont="1" applyFill="1" applyBorder="1" applyAlignment="1">
      <alignment horizontal="center"/>
    </xf>
    <xf numFmtId="1" fontId="2" fillId="3" borderId="1" xfId="3" applyNumberFormat="1" applyFont="1" applyFill="1" applyBorder="1" applyAlignment="1">
      <alignment horizontal="center"/>
    </xf>
    <xf numFmtId="3" fontId="10" fillId="0" borderId="1" xfId="2" applyNumberFormat="1" applyFont="1" applyBorder="1" applyAlignment="1">
      <alignment horizontal="center" vertical="center"/>
    </xf>
    <xf numFmtId="2" fontId="2" fillId="0" borderId="5" xfId="3" applyNumberFormat="1" applyFont="1" applyBorder="1" applyAlignment="1">
      <alignment horizontal="center"/>
    </xf>
    <xf numFmtId="2" fontId="2" fillId="0" borderId="4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165" fontId="5" fillId="0" borderId="0" xfId="1" applyNumberFormat="1" applyFont="1" applyBorder="1"/>
    <xf numFmtId="165" fontId="4" fillId="0" borderId="0" xfId="1" applyNumberFormat="1" applyFont="1" applyBorder="1"/>
    <xf numFmtId="0" fontId="2" fillId="0" borderId="0" xfId="2" applyAlignment="1">
      <alignment horizontal="center"/>
    </xf>
    <xf numFmtId="164" fontId="6" fillId="0" borderId="0" xfId="1" applyFont="1"/>
    <xf numFmtId="2" fontId="5" fillId="0" borderId="3" xfId="2" applyNumberFormat="1" applyFont="1" applyBorder="1" applyAlignment="1">
      <alignment horizontal="center"/>
    </xf>
    <xf numFmtId="164" fontId="2" fillId="3" borderId="5" xfId="1" applyFont="1" applyFill="1" applyBorder="1" applyAlignment="1">
      <alignment horizontal="center"/>
    </xf>
    <xf numFmtId="164" fontId="2" fillId="0" borderId="5" xfId="1" applyFont="1" applyBorder="1" applyAlignment="1">
      <alignment horizontal="center"/>
    </xf>
    <xf numFmtId="164" fontId="2" fillId="5" borderId="5" xfId="1" applyFont="1" applyFill="1" applyBorder="1" applyAlignment="1">
      <alignment horizontal="center"/>
    </xf>
    <xf numFmtId="0" fontId="5" fillId="0" borderId="0" xfId="2" applyFont="1"/>
    <xf numFmtId="43" fontId="11" fillId="0" borderId="1" xfId="0" applyNumberFormat="1" applyFont="1" applyBorder="1" applyAlignment="1">
      <alignment horizontal="left"/>
    </xf>
    <xf numFmtId="165" fontId="11" fillId="0" borderId="1" xfId="1" applyNumberFormat="1" applyFont="1" applyBorder="1"/>
    <xf numFmtId="164" fontId="9" fillId="3" borderId="1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49" fontId="12" fillId="0" borderId="0" xfId="2" applyNumberFormat="1" applyFont="1"/>
    <xf numFmtId="165" fontId="2" fillId="0" borderId="0" xfId="2" applyNumberFormat="1"/>
    <xf numFmtId="0" fontId="5" fillId="2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top"/>
    </xf>
    <xf numFmtId="0" fontId="21" fillId="0" borderId="1" xfId="0" applyFont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3" fontId="0" fillId="0" borderId="1" xfId="0" applyNumberFormat="1" applyBorder="1"/>
    <xf numFmtId="0" fontId="19" fillId="9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164" fontId="2" fillId="0" borderId="0" xfId="2" applyNumberFormat="1"/>
    <xf numFmtId="164" fontId="6" fillId="0" borderId="0" xfId="4" applyNumberFormat="1"/>
    <xf numFmtId="165" fontId="6" fillId="0" borderId="0" xfId="4" applyNumberFormat="1"/>
    <xf numFmtId="165" fontId="5" fillId="0" borderId="0" xfId="2" applyNumberFormat="1" applyFont="1"/>
    <xf numFmtId="165" fontId="11" fillId="0" borderId="5" xfId="1" applyNumberFormat="1" applyFont="1" applyBorder="1"/>
    <xf numFmtId="165" fontId="11" fillId="0" borderId="6" xfId="1" applyNumberFormat="1" applyFont="1" applyBorder="1"/>
    <xf numFmtId="43" fontId="2" fillId="0" borderId="2" xfId="0" applyNumberFormat="1" applyFont="1" applyBorder="1" applyAlignment="1">
      <alignment horizontal="left"/>
    </xf>
    <xf numFmtId="165" fontId="2" fillId="0" borderId="2" xfId="2" applyNumberFormat="1" applyBorder="1"/>
    <xf numFmtId="165" fontId="4" fillId="0" borderId="9" xfId="1" applyNumberFormat="1" applyFont="1" applyBorder="1"/>
    <xf numFmtId="165" fontId="24" fillId="0" borderId="0" xfId="1" applyNumberFormat="1" applyFont="1" applyBorder="1"/>
    <xf numFmtId="0" fontId="13" fillId="6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6" borderId="1" xfId="0" applyFont="1" applyFill="1" applyBorder="1" applyAlignment="1">
      <alignment horizontal="right" vertical="center"/>
    </xf>
    <xf numFmtId="165" fontId="13" fillId="6" borderId="1" xfId="1" applyNumberFormat="1" applyFont="1" applyFill="1" applyBorder="1" applyAlignment="1">
      <alignment vertical="center"/>
    </xf>
    <xf numFmtId="165" fontId="0" fillId="0" borderId="1" xfId="1" applyNumberFormat="1" applyFont="1" applyBorder="1"/>
    <xf numFmtId="0" fontId="14" fillId="3" borderId="1" xfId="0" applyFont="1" applyFill="1" applyBorder="1" applyAlignment="1">
      <alignment vertical="center"/>
    </xf>
    <xf numFmtId="165" fontId="0" fillId="3" borderId="1" xfId="1" applyNumberFormat="1" applyFont="1" applyFill="1" applyBorder="1"/>
    <xf numFmtId="0" fontId="13" fillId="6" borderId="5" xfId="0" applyFont="1" applyFill="1" applyBorder="1" applyAlignment="1">
      <alignment horizontal="right" vertical="center"/>
    </xf>
    <xf numFmtId="165" fontId="14" fillId="3" borderId="5" xfId="1" applyNumberFormat="1" applyFont="1" applyFill="1" applyBorder="1" applyAlignment="1">
      <alignment horizontal="right" vertical="center"/>
    </xf>
    <xf numFmtId="165" fontId="14" fillId="0" borderId="5" xfId="1" applyNumberFormat="1" applyFont="1" applyBorder="1" applyAlignment="1">
      <alignment horizontal="right" vertical="center"/>
    </xf>
    <xf numFmtId="165" fontId="13" fillId="6" borderId="5" xfId="1" applyNumberFormat="1" applyFont="1" applyFill="1" applyBorder="1" applyAlignment="1">
      <alignment vertical="center"/>
    </xf>
    <xf numFmtId="164" fontId="9" fillId="3" borderId="5" xfId="1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 wrapText="1"/>
    </xf>
    <xf numFmtId="164" fontId="9" fillId="0" borderId="5" xfId="1" applyFont="1" applyBorder="1" applyAlignment="1">
      <alignment horizontal="center"/>
    </xf>
    <xf numFmtId="0" fontId="19" fillId="8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right" vertical="center"/>
    </xf>
    <xf numFmtId="10" fontId="21" fillId="0" borderId="1" xfId="0" applyNumberFormat="1" applyFont="1" applyBorder="1" applyAlignment="1">
      <alignment horizontal="center" vertical="center"/>
    </xf>
    <xf numFmtId="10" fontId="2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/>
    </xf>
    <xf numFmtId="10" fontId="23" fillId="10" borderId="1" xfId="0" applyNumberFormat="1" applyFont="1" applyFill="1" applyBorder="1" applyAlignment="1">
      <alignment horizontal="center" vertical="center"/>
    </xf>
    <xf numFmtId="10" fontId="19" fillId="10" borderId="1" xfId="0" applyNumberFormat="1" applyFont="1" applyFill="1" applyBorder="1" applyAlignment="1">
      <alignment horizontal="center" vertical="center"/>
    </xf>
    <xf numFmtId="10" fontId="21" fillId="10" borderId="1" xfId="0" applyNumberFormat="1" applyFont="1" applyFill="1" applyBorder="1" applyAlignment="1">
      <alignment horizontal="center" vertical="center"/>
    </xf>
    <xf numFmtId="10" fontId="22" fillId="10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/>
    </xf>
    <xf numFmtId="0" fontId="21" fillId="11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top"/>
    </xf>
    <xf numFmtId="0" fontId="0" fillId="11" borderId="1" xfId="0" applyFill="1" applyBorder="1"/>
    <xf numFmtId="3" fontId="0" fillId="11" borderId="1" xfId="0" applyNumberFormat="1" applyFill="1" applyBorder="1" applyAlignment="1">
      <alignment horizontal="center" vertical="top"/>
    </xf>
    <xf numFmtId="0" fontId="21" fillId="11" borderId="1" xfId="0" applyFont="1" applyFill="1" applyBorder="1" applyAlignment="1">
      <alignment vertical="center"/>
    </xf>
    <xf numFmtId="3" fontId="0" fillId="11" borderId="1" xfId="0" applyNumberFormat="1" applyFill="1" applyBorder="1" applyAlignment="1">
      <alignment horizontal="center" vertical="center"/>
    </xf>
    <xf numFmtId="0" fontId="23" fillId="11" borderId="1" xfId="0" applyFont="1" applyFill="1" applyBorder="1" applyAlignment="1">
      <alignment vertical="center"/>
    </xf>
    <xf numFmtId="3" fontId="0" fillId="11" borderId="1" xfId="0" applyNumberFormat="1" applyFill="1" applyBorder="1" applyAlignment="1">
      <alignment horizontal="center"/>
    </xf>
    <xf numFmtId="3" fontId="0" fillId="11" borderId="1" xfId="0" applyNumberFormat="1" applyFill="1" applyBorder="1"/>
    <xf numFmtId="3" fontId="0" fillId="7" borderId="1" xfId="0" applyNumberFormat="1" applyFill="1" applyBorder="1" applyAlignment="1">
      <alignment horizontal="center" vertical="top"/>
    </xf>
    <xf numFmtId="3" fontId="24" fillId="7" borderId="1" xfId="0" applyNumberFormat="1" applyFont="1" applyFill="1" applyBorder="1"/>
    <xf numFmtId="0" fontId="2" fillId="2" borderId="2" xfId="2" applyFill="1" applyBorder="1" applyAlignment="1">
      <alignment horizontal="center" wrapText="1"/>
    </xf>
    <xf numFmtId="0" fontId="2" fillId="2" borderId="3" xfId="2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/>
    </xf>
  </cellXfs>
  <cellStyles count="5">
    <cellStyle name="Čárka" xfId="1" builtinId="3"/>
    <cellStyle name="Normální" xfId="0" builtinId="0"/>
    <cellStyle name="Normální 2" xfId="2" xr:uid="{00000000-0005-0000-0000-000002000000}"/>
    <cellStyle name="Normální 3" xfId="4" xr:uid="{00000000-0005-0000-0000-000003000000}"/>
    <cellStyle name="Procent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SF\IROP2\15%20-%20Finan&#269;n&#237;%20toky%20a%20alokace\1%20-%20Alokace%20IROP\ALOKACE%20IROP2%20OFICIALNI\Aloka&#269;n&#237;%20model_IROP_leden_2021_v7_pro%20PD%20IR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SF\IROP2\16%20-%20Monitoring%20a%20IS\3%20-%20Indik&#225;tory\P&#345;&#237;prava%20indik&#225;torov&#233;%20soustavy\Kopie%20-%20DRAFT%20indik&#225;torov&#233;%20soustavy%20IROP2_2019_V0.3%20-%20n&#225;vrhov&#225;%20&#269;&#225;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Aktivity - rozpad indiv. a  ITI"/>
      <sheetName val="alokace zjedn. AP - po aktivit."/>
      <sheetName val="rozpad do aktivit v % + klima"/>
      <sheetName val="SC propojené"/>
      <sheetName val="výpočty - převod do CP2 + VSUM"/>
      <sheetName val="různé"/>
      <sheetName val="KR nepapojené pro FP"/>
      <sheetName val="model_ITI (2)"/>
      <sheetName val="model_ITI (3)"/>
      <sheetName val="model_ITI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OP2 - návrh indikátorů"/>
      <sheetName val="Indi VR (IROP 2021)_draft 1"/>
      <sheetName val="finanční tabulky"/>
      <sheetName val="klima pro nk"/>
      <sheetName val="rozpad EFRR  do aktivit + klima"/>
      <sheetName val="KI"/>
      <sheetName val="finanční tabulky -původní alok.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90" zoomScaleNormal="90" workbookViewId="0"/>
  </sheetViews>
  <sheetFormatPr defaultColWidth="9.140625" defaultRowHeight="15"/>
  <cols>
    <col min="1" max="1" width="20.85546875" style="2" bestFit="1" customWidth="1"/>
    <col min="2" max="3" width="16.5703125" style="2" bestFit="1" customWidth="1"/>
    <col min="4" max="4" width="19" style="2" bestFit="1" customWidth="1"/>
    <col min="5" max="5" width="18.42578125" style="2" bestFit="1" customWidth="1"/>
    <col min="6" max="7" width="9" style="2" customWidth="1"/>
    <col min="8" max="8" width="11.7109375" style="2" customWidth="1"/>
    <col min="9" max="9" width="17" style="2" customWidth="1"/>
    <col min="10" max="11" width="19" style="2" bestFit="1" customWidth="1"/>
    <col min="12" max="12" width="16.42578125" style="2" bestFit="1" customWidth="1"/>
    <col min="13" max="19" width="5.28515625" style="2" customWidth="1"/>
    <col min="20" max="20" width="6.85546875" style="2" bestFit="1" customWidth="1"/>
    <col min="21" max="21" width="6.5703125" style="2" bestFit="1" customWidth="1"/>
    <col min="22" max="22" width="14" style="2" bestFit="1" customWidth="1"/>
    <col min="23" max="23" width="7.28515625" style="2" bestFit="1" customWidth="1"/>
    <col min="24" max="24" width="7.5703125" style="2" bestFit="1" customWidth="1"/>
    <col min="25" max="25" width="12.85546875" style="2" bestFit="1" customWidth="1"/>
    <col min="26" max="26" width="14" style="2" bestFit="1" customWidth="1"/>
    <col min="27" max="27" width="12.7109375" style="2" bestFit="1" customWidth="1"/>
    <col min="28" max="28" width="6.85546875" style="2" bestFit="1" customWidth="1"/>
    <col min="29" max="29" width="20" style="2" customWidth="1"/>
    <col min="30" max="16384" width="9.140625" style="2"/>
  </cols>
  <sheetData>
    <row r="1" spans="1:9" ht="18.75">
      <c r="A1" s="1" t="s">
        <v>0</v>
      </c>
    </row>
    <row r="2" spans="1:9" ht="18.75">
      <c r="A2" s="1"/>
      <c r="B2" s="38" t="s">
        <v>1</v>
      </c>
      <c r="C2" s="38" t="s">
        <v>2</v>
      </c>
      <c r="D2" s="38"/>
      <c r="E2"/>
      <c r="F2"/>
    </row>
    <row r="3" spans="1:9">
      <c r="A3" s="45" t="s">
        <v>3</v>
      </c>
      <c r="B3" s="46">
        <v>3747538872</v>
      </c>
      <c r="C3" s="37">
        <f>B3/70*85</f>
        <v>4550582916</v>
      </c>
      <c r="D3" s="71" t="s">
        <v>4</v>
      </c>
      <c r="E3" s="47"/>
      <c r="F3" s="141" t="s">
        <v>5</v>
      </c>
      <c r="G3" s="141"/>
      <c r="H3" s="141"/>
    </row>
    <row r="4" spans="1:9">
      <c r="A4" s="45" t="s">
        <v>6</v>
      </c>
      <c r="B4" s="46">
        <v>6419150887</v>
      </c>
      <c r="C4" s="46">
        <f>B4</f>
        <v>6419150887</v>
      </c>
      <c r="D4" s="58"/>
      <c r="F4" s="141"/>
      <c r="G4" s="141"/>
      <c r="H4" s="141"/>
    </row>
    <row r="5" spans="1:9">
      <c r="B5" s="89">
        <f>SUM(B3:B4)</f>
        <v>10166689759</v>
      </c>
      <c r="C5" s="89">
        <f>SUM(C3:C4)</f>
        <v>10969733803</v>
      </c>
    </row>
    <row r="6" spans="1:9">
      <c r="B6" s="72"/>
      <c r="C6" s="72"/>
    </row>
    <row r="7" spans="1:9">
      <c r="A7" s="134"/>
      <c r="B7" s="136" t="s">
        <v>7</v>
      </c>
      <c r="C7" s="136"/>
      <c r="D7" s="137"/>
      <c r="E7" s="137"/>
      <c r="F7" s="136"/>
      <c r="G7" s="136"/>
      <c r="H7" s="138" t="s">
        <v>8</v>
      </c>
      <c r="I7" s="140" t="s">
        <v>9</v>
      </c>
    </row>
    <row r="8" spans="1:9" ht="30">
      <c r="A8" s="135"/>
      <c r="B8" s="73" t="s">
        <v>10</v>
      </c>
      <c r="C8" s="7" t="s">
        <v>11</v>
      </c>
      <c r="D8" s="108" t="s">
        <v>1</v>
      </c>
      <c r="E8" s="36" t="s">
        <v>2</v>
      </c>
      <c r="F8" s="6" t="s">
        <v>12</v>
      </c>
      <c r="G8" s="73" t="s">
        <v>13</v>
      </c>
      <c r="H8" s="139"/>
      <c r="I8" s="140"/>
    </row>
    <row r="9" spans="1:9">
      <c r="A9" s="8" t="s">
        <v>14</v>
      </c>
      <c r="B9" s="48">
        <v>1204.395</v>
      </c>
      <c r="C9" s="49">
        <v>9.9678179831140632</v>
      </c>
      <c r="D9" s="107">
        <f>C9/SUM($C$33:$C$37)*$B$3</f>
        <v>651511755.56636488</v>
      </c>
      <c r="E9" s="69">
        <f>C9/SUM($C$33:$C$37)*$C$3</f>
        <v>791121417.47344315</v>
      </c>
      <c r="F9" s="50">
        <f>E9/SUM($C$3:$C$4)*100</f>
        <v>7.2118561095537936</v>
      </c>
      <c r="G9" s="51">
        <f>F9-C9</f>
        <v>-2.7559618735602696</v>
      </c>
      <c r="H9" s="52">
        <v>782.64</v>
      </c>
      <c r="I9" s="19">
        <f>E9/H9</f>
        <v>1010836.9332942901</v>
      </c>
    </row>
    <row r="10" spans="1:9">
      <c r="A10" s="8" t="s">
        <v>15</v>
      </c>
      <c r="B10" s="48">
        <v>1056.07</v>
      </c>
      <c r="C10" s="49">
        <v>8.740250115142679</v>
      </c>
      <c r="D10" s="107">
        <f>C10/SUM($C$33:$C$37)*$B$3</f>
        <v>571276051.2132405</v>
      </c>
      <c r="E10" s="69">
        <f>C10/SUM($C$33:$C$37)*$C$3</f>
        <v>693692347.90179205</v>
      </c>
      <c r="F10" s="50">
        <f t="shared" ref="F10:F21" si="0">E10/SUM($C$3:$C$4)*100</f>
        <v>6.3236935404219308</v>
      </c>
      <c r="G10" s="51">
        <f t="shared" ref="G10:G21" si="1">F10-C10</f>
        <v>-2.4165565747207483</v>
      </c>
      <c r="H10" s="52">
        <v>644.64</v>
      </c>
      <c r="I10" s="19">
        <f>E10/H10</f>
        <v>1076092.6220864234</v>
      </c>
    </row>
    <row r="11" spans="1:9">
      <c r="A11" s="8" t="s">
        <v>16</v>
      </c>
      <c r="B11" s="48">
        <v>1183.96</v>
      </c>
      <c r="C11" s="49">
        <v>9.7986937668187988</v>
      </c>
      <c r="D11" s="107">
        <f>C11/SUM($C$33:$C$37)*$B$3</f>
        <v>640457539.36237991</v>
      </c>
      <c r="E11" s="69">
        <f>C11/SUM($C$33:$C$37)*$C$3</f>
        <v>777698440.65431845</v>
      </c>
      <c r="F11" s="50">
        <f t="shared" si="0"/>
        <v>7.0894923670949392</v>
      </c>
      <c r="G11" s="51">
        <f t="shared" si="1"/>
        <v>-2.7092013997238595</v>
      </c>
      <c r="H11" s="52">
        <v>741.88</v>
      </c>
      <c r="I11" s="19">
        <f t="shared" ref="I11:I21" si="2">E11/H11</f>
        <v>1048280.6392601478</v>
      </c>
    </row>
    <row r="12" spans="1:9">
      <c r="A12" s="8" t="s">
        <v>17</v>
      </c>
      <c r="B12" s="48">
        <v>1196.145</v>
      </c>
      <c r="C12" s="49">
        <v>9.8995393051382408</v>
      </c>
      <c r="D12" s="107">
        <f>C12/SUM($C$33:$C$37)*$B$3</f>
        <v>647048957.24569559</v>
      </c>
      <c r="E12" s="69">
        <f>C12/SUM($C$33:$C$37)*$C$3</f>
        <v>785702305.22691607</v>
      </c>
      <c r="F12" s="50">
        <f t="shared" si="0"/>
        <v>7.1624555284289793</v>
      </c>
      <c r="G12" s="51">
        <f t="shared" si="1"/>
        <v>-2.7370837767092615</v>
      </c>
      <c r="H12" s="52">
        <v>896.87</v>
      </c>
      <c r="I12" s="19">
        <f t="shared" si="2"/>
        <v>876049.26603288774</v>
      </c>
    </row>
    <row r="13" spans="1:9">
      <c r="A13" s="8" t="s">
        <v>18</v>
      </c>
      <c r="B13" s="48">
        <v>2287.19</v>
      </c>
      <c r="C13" s="49">
        <v>18.929249633881454</v>
      </c>
      <c r="D13" s="107">
        <f>C13/SUM($C$33:$C$37)*$B$3</f>
        <v>1237244568.6123192</v>
      </c>
      <c r="E13" s="69">
        <f>C13/SUM($C$33:$C$37)*$C$3</f>
        <v>1502368404.7435305</v>
      </c>
      <c r="F13" s="50">
        <f t="shared" si="0"/>
        <v>13.695577593073981</v>
      </c>
      <c r="G13" s="51">
        <f t="shared" si="1"/>
        <v>-5.2336720408074733</v>
      </c>
      <c r="H13" s="52">
        <v>2187</v>
      </c>
      <c r="I13" s="19">
        <f t="shared" si="2"/>
        <v>686954.00308346155</v>
      </c>
    </row>
    <row r="14" spans="1:9">
      <c r="A14" s="9" t="s">
        <v>19</v>
      </c>
      <c r="B14" s="53">
        <v>403.6</v>
      </c>
      <c r="C14" s="54">
        <v>3.3402756886111584</v>
      </c>
      <c r="D14" s="109">
        <f>C14/SUM($C$38:$C$45)*$B$4</f>
        <v>502566751.79181677</v>
      </c>
      <c r="E14" s="70">
        <f>C14/SUM($C$38:$C$45)*$C$4</f>
        <v>502566751.79181677</v>
      </c>
      <c r="F14" s="55">
        <f t="shared" si="0"/>
        <v>4.5813942326875328</v>
      </c>
      <c r="G14" s="56">
        <f t="shared" si="1"/>
        <v>1.2411185440763743</v>
      </c>
      <c r="H14" s="57">
        <v>331.55</v>
      </c>
      <c r="I14" s="21">
        <f t="shared" si="2"/>
        <v>1515809.8380087973</v>
      </c>
    </row>
    <row r="15" spans="1:9">
      <c r="A15" s="9" t="s">
        <v>20</v>
      </c>
      <c r="B15" s="53">
        <v>813.82500000000005</v>
      </c>
      <c r="C15" s="54">
        <v>6.7353812246877505</v>
      </c>
      <c r="D15" s="109">
        <f>C15/SUM($C$38:$C$45)*$B$4</f>
        <v>1013383019.7645571</v>
      </c>
      <c r="E15" s="70">
        <f>C15/SUM($C$38:$C$45)*$C$4</f>
        <v>1013383019.7645571</v>
      </c>
      <c r="F15" s="55">
        <f t="shared" si="0"/>
        <v>9.2379909846802057</v>
      </c>
      <c r="G15" s="56">
        <f t="shared" si="1"/>
        <v>2.5026097599924553</v>
      </c>
      <c r="H15" s="57">
        <v>731.42</v>
      </c>
      <c r="I15" s="21">
        <f t="shared" si="2"/>
        <v>1385500.8336722502</v>
      </c>
    </row>
    <row r="16" spans="1:9">
      <c r="A16" s="9" t="s">
        <v>21</v>
      </c>
      <c r="B16" s="53">
        <v>465.59000000000003</v>
      </c>
      <c r="C16" s="54">
        <v>3.8533175368197945</v>
      </c>
      <c r="D16" s="109">
        <f>C16/SUM($C$38:$C$45)*$B$4</f>
        <v>579757319.0454706</v>
      </c>
      <c r="E16" s="70">
        <f>C16/SUM($C$38:$C$45)*$C$4</f>
        <v>579757319.0454706</v>
      </c>
      <c r="F16" s="55">
        <f t="shared" si="0"/>
        <v>5.2850627869102782</v>
      </c>
      <c r="G16" s="56">
        <f t="shared" si="1"/>
        <v>1.4317452500904837</v>
      </c>
      <c r="H16" s="57">
        <v>448.26</v>
      </c>
      <c r="I16" s="21">
        <f t="shared" si="2"/>
        <v>1293350.5533517839</v>
      </c>
    </row>
    <row r="17" spans="1:9">
      <c r="A17" s="9" t="s">
        <v>22</v>
      </c>
      <c r="B17" s="53">
        <v>792.05</v>
      </c>
      <c r="C17" s="54">
        <v>6.555166895848533</v>
      </c>
      <c r="D17" s="109">
        <f>C17/SUM($C$38:$C$45)*$B$4</f>
        <v>986268572.2415967</v>
      </c>
      <c r="E17" s="70">
        <f>C17/SUM($C$38:$C$45)*$C$4</f>
        <v>986268572.2415967</v>
      </c>
      <c r="F17" s="55">
        <f t="shared" si="0"/>
        <v>8.9908159117942521</v>
      </c>
      <c r="G17" s="56">
        <f t="shared" si="1"/>
        <v>2.4356490159457191</v>
      </c>
      <c r="H17" s="57">
        <v>737.42</v>
      </c>
      <c r="I17" s="21">
        <f t="shared" si="2"/>
        <v>1337458.398526751</v>
      </c>
    </row>
    <row r="18" spans="1:9">
      <c r="A18" s="9" t="s">
        <v>23</v>
      </c>
      <c r="B18" s="53">
        <v>741.07</v>
      </c>
      <c r="C18" s="54">
        <v>6.1332460469749037</v>
      </c>
      <c r="D18" s="109">
        <f>C18/SUM($C$38:$C$45)*$B$4</f>
        <v>922787766.97314584</v>
      </c>
      <c r="E18" s="70">
        <f>C18/SUM($C$38:$C$45)*$C$4</f>
        <v>922787766.97314584</v>
      </c>
      <c r="F18" s="55">
        <f t="shared" si="0"/>
        <v>8.4121254311639007</v>
      </c>
      <c r="G18" s="56">
        <f t="shared" si="1"/>
        <v>2.2788793841889969</v>
      </c>
      <c r="H18" s="57">
        <v>545.69000000000005</v>
      </c>
      <c r="I18" s="21">
        <f t="shared" si="2"/>
        <v>1691047.6039017497</v>
      </c>
    </row>
    <row r="19" spans="1:9">
      <c r="A19" s="9" t="s">
        <v>24</v>
      </c>
      <c r="B19" s="53">
        <v>724.96</v>
      </c>
      <c r="C19" s="54">
        <v>5.999916410345751</v>
      </c>
      <c r="D19" s="109">
        <f>C19/SUM($C$38:$C$45)*$B$4</f>
        <v>902727434.04111862</v>
      </c>
      <c r="E19" s="70">
        <f>C19/SUM($C$38:$C$45)*$C$4</f>
        <v>902727434.04111862</v>
      </c>
      <c r="F19" s="55">
        <f t="shared" si="0"/>
        <v>8.229255606861134</v>
      </c>
      <c r="G19" s="56">
        <f t="shared" si="1"/>
        <v>2.229339196515383</v>
      </c>
      <c r="H19" s="57">
        <v>537.41999999999996</v>
      </c>
      <c r="I19" s="21">
        <f t="shared" si="2"/>
        <v>1679742.9087885057</v>
      </c>
    </row>
    <row r="20" spans="1:9">
      <c r="A20" s="9" t="s">
        <v>25</v>
      </c>
      <c r="B20" s="53">
        <v>717.68499999999995</v>
      </c>
      <c r="C20" s="54">
        <v>5.9397070306761623</v>
      </c>
      <c r="D20" s="109">
        <f>C20/SUM($C$38:$C$45)*$B$4</f>
        <v>893668531.36697221</v>
      </c>
      <c r="E20" s="70">
        <f>C20/SUM($C$38:$C$45)*$C$4</f>
        <v>893668531.36697221</v>
      </c>
      <c r="F20" s="55">
        <f t="shared" si="0"/>
        <v>8.1466747271713373</v>
      </c>
      <c r="G20" s="56">
        <f t="shared" si="1"/>
        <v>2.206967696495175</v>
      </c>
      <c r="H20" s="57">
        <v>535.25</v>
      </c>
      <c r="I20" s="21">
        <f t="shared" si="2"/>
        <v>1669628.2697187711</v>
      </c>
    </row>
    <row r="21" spans="1:9">
      <c r="A21" s="9" t="s">
        <v>26</v>
      </c>
      <c r="B21" s="53">
        <v>496.29499999999996</v>
      </c>
      <c r="C21" s="54">
        <v>4.1074383619407202</v>
      </c>
      <c r="D21" s="109">
        <f>C21/SUM($C$38:$C$45)*$B$4</f>
        <v>617991491.77532125</v>
      </c>
      <c r="E21" s="70">
        <f>C21/SUM($C$38:$C$45)*$C$4</f>
        <v>617991491.77532125</v>
      </c>
      <c r="F21" s="55">
        <f t="shared" si="0"/>
        <v>5.6336051801577272</v>
      </c>
      <c r="G21" s="56">
        <f t="shared" si="1"/>
        <v>1.5261668182170069</v>
      </c>
      <c r="H21" s="57">
        <v>479.34</v>
      </c>
      <c r="I21" s="21">
        <f t="shared" si="2"/>
        <v>1289255.0001571353</v>
      </c>
    </row>
    <row r="22" spans="1:9">
      <c r="A22" s="10" t="s">
        <v>27</v>
      </c>
      <c r="B22" s="11">
        <v>12082.834999999999</v>
      </c>
      <c r="C22" s="12">
        <v>100</v>
      </c>
      <c r="D22" s="13"/>
      <c r="E22" s="13"/>
      <c r="F22" s="12"/>
      <c r="G22" s="12"/>
      <c r="H22" s="12"/>
      <c r="I22" s="12"/>
    </row>
    <row r="23" spans="1:9">
      <c r="D23" s="86"/>
    </row>
    <row r="26" spans="1:9" ht="18.75">
      <c r="A26" s="1"/>
      <c r="B26" s="38" t="s">
        <v>1</v>
      </c>
      <c r="C26" s="38" t="s">
        <v>2</v>
      </c>
      <c r="D26" s="38"/>
      <c r="E26"/>
      <c r="F26"/>
    </row>
    <row r="27" spans="1:9">
      <c r="A27" s="45" t="s">
        <v>3</v>
      </c>
      <c r="B27" s="46">
        <f>B3/24.5</f>
        <v>152960770.2857143</v>
      </c>
      <c r="C27" s="37">
        <f>B27/70*85</f>
        <v>185738078.20408162</v>
      </c>
      <c r="D27" s="71" t="s">
        <v>4</v>
      </c>
      <c r="E27" s="47"/>
      <c r="F27" s="141" t="s">
        <v>28</v>
      </c>
      <c r="G27" s="141"/>
      <c r="H27" s="141"/>
    </row>
    <row r="28" spans="1:9">
      <c r="A28" s="45" t="s">
        <v>6</v>
      </c>
      <c r="B28" s="46">
        <f>B4/24.5</f>
        <v>262006158.65306121</v>
      </c>
      <c r="C28" s="46">
        <f>B28</f>
        <v>262006158.65306121</v>
      </c>
      <c r="D28" s="58"/>
      <c r="F28" s="141"/>
      <c r="G28" s="141"/>
      <c r="H28" s="141"/>
    </row>
    <row r="29" spans="1:9">
      <c r="B29" s="89">
        <f>SUM(B27:B28)</f>
        <v>414966928.93877554</v>
      </c>
      <c r="C29" s="89">
        <f>SUM(C27:C28)</f>
        <v>447744236.85714281</v>
      </c>
    </row>
    <row r="30" spans="1:9">
      <c r="B30" s="89"/>
      <c r="C30" s="89"/>
    </row>
    <row r="31" spans="1:9">
      <c r="A31" s="134"/>
      <c r="B31" s="136" t="s">
        <v>7</v>
      </c>
      <c r="C31" s="136"/>
      <c r="D31" s="137"/>
      <c r="E31" s="137"/>
      <c r="F31" s="136"/>
      <c r="G31" s="136"/>
      <c r="H31" s="138" t="s">
        <v>8</v>
      </c>
      <c r="I31" s="140" t="s">
        <v>9</v>
      </c>
    </row>
    <row r="32" spans="1:9" ht="30">
      <c r="A32" s="135"/>
      <c r="B32" s="73" t="s">
        <v>10</v>
      </c>
      <c r="C32" s="7" t="s">
        <v>11</v>
      </c>
      <c r="D32" s="36" t="s">
        <v>1</v>
      </c>
      <c r="E32" s="36" t="s">
        <v>2</v>
      </c>
      <c r="F32" s="6" t="s">
        <v>12</v>
      </c>
      <c r="G32" s="73" t="s">
        <v>13</v>
      </c>
      <c r="H32" s="139"/>
      <c r="I32" s="140"/>
    </row>
    <row r="33" spans="1:9">
      <c r="A33" s="8" t="s">
        <v>14</v>
      </c>
      <c r="B33" s="48">
        <v>1204.395</v>
      </c>
      <c r="C33" s="49">
        <v>9.9678179831140632</v>
      </c>
      <c r="D33" s="69">
        <f>C33/SUM($C$33:$C$37)*$B$27</f>
        <v>26592316.553729184</v>
      </c>
      <c r="E33" s="69">
        <f>C33/SUM($C$33:$C$37)*$C$27</f>
        <v>32290670.100956861</v>
      </c>
      <c r="F33" s="50">
        <f>E33/SUM($C$27:$C$28)*100</f>
        <v>7.2118561095537936</v>
      </c>
      <c r="G33" s="51">
        <f>F33-C33</f>
        <v>-2.7559618735602696</v>
      </c>
      <c r="H33" s="52">
        <v>782.64</v>
      </c>
      <c r="I33" s="51">
        <f>E33/H33</f>
        <v>41258.650338542451</v>
      </c>
    </row>
    <row r="34" spans="1:9">
      <c r="A34" s="8" t="s">
        <v>15</v>
      </c>
      <c r="B34" s="48">
        <v>1056.07</v>
      </c>
      <c r="C34" s="49">
        <v>8.740250115142679</v>
      </c>
      <c r="D34" s="69">
        <f>C34/SUM($C$33:$C$37)*$B$27</f>
        <v>23317389.845438391</v>
      </c>
      <c r="E34" s="69">
        <f>C34/SUM($C$33:$C$37)*$C$27</f>
        <v>28313973.383746613</v>
      </c>
      <c r="F34" s="50">
        <f>E34/SUM($C$27:$C$28)*100</f>
        <v>6.3236935404219317</v>
      </c>
      <c r="G34" s="51">
        <f t="shared" ref="G34:G45" si="3">F34-C34</f>
        <v>-2.4165565747207474</v>
      </c>
      <c r="H34" s="52">
        <v>644.64</v>
      </c>
      <c r="I34" s="51">
        <f>E34/H34</f>
        <v>43922.14784026218</v>
      </c>
    </row>
    <row r="35" spans="1:9">
      <c r="A35" s="8" t="s">
        <v>16</v>
      </c>
      <c r="B35" s="48">
        <v>1183.96</v>
      </c>
      <c r="C35" s="49">
        <v>9.7986937668187988</v>
      </c>
      <c r="D35" s="69">
        <f>C35/SUM($C$33:$C$37)*$B$27</f>
        <v>26141124.055607345</v>
      </c>
      <c r="E35" s="69">
        <f>C35/SUM($C$33:$C$37)*$C$27</f>
        <v>31742793.496094629</v>
      </c>
      <c r="F35" s="50">
        <f>E35/SUM($C$27:$C$28)*100</f>
        <v>7.089492367094941</v>
      </c>
      <c r="G35" s="51">
        <f t="shared" si="3"/>
        <v>-2.7092013997238578</v>
      </c>
      <c r="H35" s="52">
        <v>741.88</v>
      </c>
      <c r="I35" s="51">
        <f t="shared" ref="I35:I45" si="4">E35/H35</f>
        <v>42786.964867761133</v>
      </c>
    </row>
    <row r="36" spans="1:9">
      <c r="A36" s="8" t="s">
        <v>17</v>
      </c>
      <c r="B36" s="48">
        <v>1196.145</v>
      </c>
      <c r="C36" s="49">
        <v>9.8995393051382408</v>
      </c>
      <c r="D36" s="69">
        <f>C36/SUM($C$33:$C$37)*$B$27</f>
        <v>26410161.520232476</v>
      </c>
      <c r="E36" s="69">
        <f>C36/SUM($C$33:$C$37)*$C$27</f>
        <v>32069481.845996574</v>
      </c>
      <c r="F36" s="50">
        <f>E36/SUM($C$27:$C$28)*100</f>
        <v>7.162455528428981</v>
      </c>
      <c r="G36" s="51">
        <f t="shared" si="3"/>
        <v>-2.7370837767092597</v>
      </c>
      <c r="H36" s="52">
        <v>896.87</v>
      </c>
      <c r="I36" s="51">
        <f t="shared" si="4"/>
        <v>35757.112899301545</v>
      </c>
    </row>
    <row r="37" spans="1:9">
      <c r="A37" s="8" t="s">
        <v>18</v>
      </c>
      <c r="B37" s="48">
        <v>2287.19</v>
      </c>
      <c r="C37" s="49">
        <v>18.929249633881454</v>
      </c>
      <c r="D37" s="69">
        <f>C37/SUM($C$33:$C$37)*$B$27</f>
        <v>50499778.310706906</v>
      </c>
      <c r="E37" s="69">
        <f>C37/SUM($C$33:$C$37)*$C$27</f>
        <v>61321159.377286956</v>
      </c>
      <c r="F37" s="50">
        <f>E37/SUM($C$27:$C$28)*100</f>
        <v>13.695577593073985</v>
      </c>
      <c r="G37" s="51">
        <f t="shared" si="3"/>
        <v>-5.2336720408074697</v>
      </c>
      <c r="H37" s="52">
        <v>2187</v>
      </c>
      <c r="I37" s="51">
        <f t="shared" si="4"/>
        <v>28038.938901365778</v>
      </c>
    </row>
    <row r="38" spans="1:9">
      <c r="A38" s="9" t="s">
        <v>19</v>
      </c>
      <c r="B38" s="53">
        <v>403.6</v>
      </c>
      <c r="C38" s="54">
        <v>3.3402756886111584</v>
      </c>
      <c r="D38" s="70">
        <f>C38/SUM($C$38:$C$45)*$B$28</f>
        <v>20512928.644563947</v>
      </c>
      <c r="E38" s="70">
        <f>C38/SUM($C$38:$C$45)*$C$28</f>
        <v>20512928.644563947</v>
      </c>
      <c r="F38" s="55">
        <f>E38/SUM($C$27:$C$28)*100</f>
        <v>4.5813942326875328</v>
      </c>
      <c r="G38" s="56">
        <f t="shared" si="3"/>
        <v>1.2411185440763743</v>
      </c>
      <c r="H38" s="57">
        <v>331.55</v>
      </c>
      <c r="I38" s="56">
        <f t="shared" si="4"/>
        <v>61869.789306481514</v>
      </c>
    </row>
    <row r="39" spans="1:9">
      <c r="A39" s="9" t="s">
        <v>20</v>
      </c>
      <c r="B39" s="53">
        <v>813.82500000000005</v>
      </c>
      <c r="C39" s="54">
        <v>6.7353812246877505</v>
      </c>
      <c r="D39" s="70">
        <f>C39/SUM($C$38:$C$45)*$B$28</f>
        <v>41362572.235288046</v>
      </c>
      <c r="E39" s="70">
        <f>C39/SUM($C$38:$C$45)*$C$28</f>
        <v>41362572.235288046</v>
      </c>
      <c r="F39" s="55">
        <f>E39/SUM($C$27:$C$28)*100</f>
        <v>9.2379909846802075</v>
      </c>
      <c r="G39" s="56">
        <f t="shared" si="3"/>
        <v>2.5026097599924571</v>
      </c>
      <c r="H39" s="57">
        <v>731.42</v>
      </c>
      <c r="I39" s="56">
        <f t="shared" si="4"/>
        <v>56551.054435602047</v>
      </c>
    </row>
    <row r="40" spans="1:9">
      <c r="A40" s="9" t="s">
        <v>21</v>
      </c>
      <c r="B40" s="53">
        <v>465.59000000000003</v>
      </c>
      <c r="C40" s="54">
        <v>3.8533175368197945</v>
      </c>
      <c r="D40" s="70">
        <f>C40/SUM($C$38:$C$45)*$B$28</f>
        <v>23663564.042672269</v>
      </c>
      <c r="E40" s="70">
        <f>C40/SUM($C$38:$C$45)*$C$28</f>
        <v>23663564.042672269</v>
      </c>
      <c r="F40" s="55">
        <f>E40/SUM($C$27:$C$28)*100</f>
        <v>5.2850627869102782</v>
      </c>
      <c r="G40" s="56">
        <f t="shared" si="3"/>
        <v>1.4317452500904837</v>
      </c>
      <c r="H40" s="57">
        <v>448.26</v>
      </c>
      <c r="I40" s="56">
        <f t="shared" si="4"/>
        <v>52789.818504154442</v>
      </c>
    </row>
    <row r="41" spans="1:9">
      <c r="A41" s="9" t="s">
        <v>22</v>
      </c>
      <c r="B41" s="53">
        <v>792.05</v>
      </c>
      <c r="C41" s="54">
        <v>6.555166895848533</v>
      </c>
      <c r="D41" s="70">
        <f>C41/SUM($C$38:$C$45)*$B$28</f>
        <v>40255860.091493741</v>
      </c>
      <c r="E41" s="70">
        <f>C41/SUM($C$38:$C$45)*$C$28</f>
        <v>40255860.091493741</v>
      </c>
      <c r="F41" s="55">
        <f>E41/SUM($C$27:$C$28)*100</f>
        <v>8.9908159117942521</v>
      </c>
      <c r="G41" s="56">
        <f t="shared" si="3"/>
        <v>2.4356490159457191</v>
      </c>
      <c r="H41" s="57">
        <v>737.42</v>
      </c>
      <c r="I41" s="56">
        <f t="shared" si="4"/>
        <v>54590.138715377594</v>
      </c>
    </row>
    <row r="42" spans="1:9">
      <c r="A42" s="9" t="s">
        <v>23</v>
      </c>
      <c r="B42" s="53">
        <v>741.07</v>
      </c>
      <c r="C42" s="54">
        <v>6.1332460469749037</v>
      </c>
      <c r="D42" s="70">
        <f>C42/SUM($C$38:$C$45)*$B$28</f>
        <v>37664806.815230437</v>
      </c>
      <c r="E42" s="70">
        <f>C42/SUM($C$38:$C$45)*$C$28</f>
        <v>37664806.815230437</v>
      </c>
      <c r="F42" s="55">
        <f>E42/SUM($C$27:$C$28)*100</f>
        <v>8.4121254311639007</v>
      </c>
      <c r="G42" s="56">
        <f t="shared" si="3"/>
        <v>2.2788793841889969</v>
      </c>
      <c r="H42" s="57">
        <v>545.69000000000005</v>
      </c>
      <c r="I42" s="56">
        <f t="shared" si="4"/>
        <v>69022.351179663237</v>
      </c>
    </row>
    <row r="43" spans="1:9">
      <c r="A43" s="9" t="s">
        <v>24</v>
      </c>
      <c r="B43" s="53">
        <v>724.96</v>
      </c>
      <c r="C43" s="54">
        <v>5.999916410345751</v>
      </c>
      <c r="D43" s="70">
        <f>C43/SUM($C$38:$C$45)*$B$28</f>
        <v>36846017.715964019</v>
      </c>
      <c r="E43" s="70">
        <f>C43/SUM($C$38:$C$45)*$C$28</f>
        <v>36846017.715964019</v>
      </c>
      <c r="F43" s="55">
        <f>E43/SUM($C$27:$C$28)*100</f>
        <v>8.229255606861134</v>
      </c>
      <c r="G43" s="56">
        <f t="shared" si="3"/>
        <v>2.229339196515383</v>
      </c>
      <c r="H43" s="57">
        <v>537.41999999999996</v>
      </c>
      <c r="I43" s="56">
        <f t="shared" si="4"/>
        <v>68560.93505259206</v>
      </c>
    </row>
    <row r="44" spans="1:9">
      <c r="A44" s="9" t="s">
        <v>25</v>
      </c>
      <c r="B44" s="53">
        <v>717.68499999999995</v>
      </c>
      <c r="C44" s="54">
        <v>5.9397070306761623</v>
      </c>
      <c r="D44" s="70">
        <f>C44/SUM($C$38:$C$45)*$B$28</f>
        <v>36476266.586407028</v>
      </c>
      <c r="E44" s="70">
        <f>C44/SUM($C$38:$C$45)*$C$28</f>
        <v>36476266.586407028</v>
      </c>
      <c r="F44" s="55">
        <f>E44/SUM($C$27:$C$28)*100</f>
        <v>8.1466747271713373</v>
      </c>
      <c r="G44" s="56">
        <f t="shared" si="3"/>
        <v>2.206967696495175</v>
      </c>
      <c r="H44" s="57">
        <v>535.25</v>
      </c>
      <c r="I44" s="56">
        <f t="shared" si="4"/>
        <v>68148.092641582494</v>
      </c>
    </row>
    <row r="45" spans="1:9">
      <c r="A45" s="9" t="s">
        <v>26</v>
      </c>
      <c r="B45" s="53">
        <v>496.29499999999996</v>
      </c>
      <c r="C45" s="54">
        <v>4.1074383619407202</v>
      </c>
      <c r="D45" s="70">
        <f>C45/SUM($C$38:$C$45)*$B$28</f>
        <v>25224142.521441683</v>
      </c>
      <c r="E45" s="70">
        <f>C45/SUM($C$38:$C$45)*$C$28</f>
        <v>25224142.521441683</v>
      </c>
      <c r="F45" s="55">
        <f>E45/SUM($C$27:$C$28)*100</f>
        <v>5.6336051801577272</v>
      </c>
      <c r="G45" s="56">
        <f t="shared" si="3"/>
        <v>1.5261668182170069</v>
      </c>
      <c r="H45" s="57">
        <v>479.34</v>
      </c>
      <c r="I45" s="56">
        <f t="shared" si="4"/>
        <v>52622.653067638181</v>
      </c>
    </row>
    <row r="46" spans="1:9">
      <c r="A46" s="10" t="s">
        <v>27</v>
      </c>
      <c r="B46" s="11">
        <v>12082.834999999999</v>
      </c>
      <c r="C46" s="12">
        <v>100</v>
      </c>
      <c r="D46" s="13"/>
      <c r="E46" s="13"/>
      <c r="F46" s="12"/>
      <c r="G46" s="12"/>
      <c r="H46" s="12"/>
      <c r="I46" s="12"/>
    </row>
  </sheetData>
  <mergeCells count="10">
    <mergeCell ref="F3:H4"/>
    <mergeCell ref="A31:A32"/>
    <mergeCell ref="B31:G31"/>
    <mergeCell ref="I31:I32"/>
    <mergeCell ref="H31:H32"/>
    <mergeCell ref="A7:A8"/>
    <mergeCell ref="B7:G7"/>
    <mergeCell ref="H7:H8"/>
    <mergeCell ref="I7:I8"/>
    <mergeCell ref="F27:H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/>
  </sheetViews>
  <sheetFormatPr defaultColWidth="9.140625" defaultRowHeight="15.75" customHeight="1"/>
  <cols>
    <col min="1" max="1" width="19.85546875" style="2" customWidth="1"/>
    <col min="2" max="2" width="15.140625" style="2" customWidth="1"/>
    <col min="3" max="3" width="14.85546875" style="2" customWidth="1"/>
    <col min="4" max="4" width="16.42578125" style="2" bestFit="1" customWidth="1"/>
    <col min="5" max="5" width="15.28515625" style="2" bestFit="1" customWidth="1"/>
    <col min="6" max="6" width="12.7109375" style="2" bestFit="1" customWidth="1"/>
    <col min="7" max="7" width="6.85546875" style="2" customWidth="1"/>
    <col min="8" max="8" width="16.42578125" style="2" bestFit="1" customWidth="1"/>
    <col min="9" max="16384" width="9.140625" style="2"/>
  </cols>
  <sheetData>
    <row r="1" spans="1:7" ht="15.75" customHeight="1">
      <c r="A1" s="1" t="s">
        <v>29</v>
      </c>
    </row>
    <row r="3" spans="1:7" ht="15.75" customHeight="1">
      <c r="A3" s="1"/>
      <c r="B3" s="66" t="s">
        <v>1</v>
      </c>
      <c r="C3" s="66" t="s">
        <v>2</v>
      </c>
    </row>
    <row r="4" spans="1:7" ht="15.75" customHeight="1">
      <c r="A4" s="67" t="s">
        <v>3</v>
      </c>
      <c r="B4" s="68">
        <v>932698578</v>
      </c>
      <c r="C4" s="68">
        <f>B4/70*85</f>
        <v>1132562559</v>
      </c>
      <c r="D4" s="71" t="s">
        <v>4</v>
      </c>
      <c r="E4" s="145" t="s">
        <v>5</v>
      </c>
      <c r="F4" s="145"/>
      <c r="G4" s="86"/>
    </row>
    <row r="5" spans="1:7" ht="15.75" customHeight="1">
      <c r="A5" s="67" t="s">
        <v>6</v>
      </c>
      <c r="B5" s="68">
        <v>933962507</v>
      </c>
      <c r="C5" s="68">
        <f>B5</f>
        <v>933962507</v>
      </c>
      <c r="D5" s="59"/>
      <c r="E5" s="145"/>
      <c r="F5" s="145"/>
      <c r="G5" s="86"/>
    </row>
    <row r="6" spans="1:7" ht="15.75" customHeight="1">
      <c r="A6" s="3"/>
      <c r="B6" s="90">
        <f>SUM(B4:B5)</f>
        <v>1866661085</v>
      </c>
      <c r="C6" s="90">
        <f>SUM(C4:C5)</f>
        <v>2066525066</v>
      </c>
      <c r="D6" s="60"/>
    </row>
    <row r="7" spans="1:7" ht="15.75" customHeight="1">
      <c r="A7" s="3"/>
      <c r="B7" s="90"/>
      <c r="C7" s="91"/>
      <c r="D7" s="60"/>
    </row>
    <row r="8" spans="1:7" ht="15.75" customHeight="1">
      <c r="A8" s="16"/>
      <c r="B8" s="142" t="s">
        <v>30</v>
      </c>
      <c r="C8" s="143"/>
      <c r="D8" s="143"/>
      <c r="E8" s="146"/>
      <c r="F8" s="143"/>
      <c r="G8" s="144"/>
    </row>
    <row r="9" spans="1:7" ht="15.75" customHeight="1">
      <c r="A9" s="16"/>
      <c r="B9" s="73" t="s">
        <v>31</v>
      </c>
      <c r="C9" s="73" t="s">
        <v>11</v>
      </c>
      <c r="D9" s="7" t="s">
        <v>1</v>
      </c>
      <c r="E9" s="73" t="s">
        <v>2</v>
      </c>
      <c r="F9" s="6" t="s">
        <v>12</v>
      </c>
      <c r="G9" s="73" t="s">
        <v>13</v>
      </c>
    </row>
    <row r="10" spans="1:7" ht="15.75" customHeight="1">
      <c r="A10" s="8" t="s">
        <v>14</v>
      </c>
      <c r="B10" s="17" t="s">
        <v>32</v>
      </c>
      <c r="C10" s="18">
        <v>10.465238219210573</v>
      </c>
      <c r="D10" s="107">
        <f>C10/SUM($C$33:$C$37)*$B$4</f>
        <v>201259037.24901187</v>
      </c>
      <c r="E10" s="69">
        <f>C10/SUM($C$33:$C$37)*$C$4</f>
        <v>244385973.80237159</v>
      </c>
      <c r="F10" s="42">
        <f>E10/SUM(E$10:E$22)*100</f>
        <v>11.8259380359421</v>
      </c>
      <c r="G10" s="18">
        <f t="shared" ref="G10:G22" si="0">F10-C10</f>
        <v>1.3606998167315272</v>
      </c>
    </row>
    <row r="11" spans="1:7" ht="15.75" customHeight="1">
      <c r="A11" s="8" t="s">
        <v>15</v>
      </c>
      <c r="B11" s="17" t="s">
        <v>33</v>
      </c>
      <c r="C11" s="18">
        <v>7.9956760026070803</v>
      </c>
      <c r="D11" s="107">
        <f>C11/SUM($C$33:$C$37)*$B$4</f>
        <v>153766404.61808011</v>
      </c>
      <c r="E11" s="69">
        <f>C11/SUM($C$33:$C$37)*$C$4</f>
        <v>186716348.46481153</v>
      </c>
      <c r="F11" s="42">
        <f t="shared" ref="F11:F22" si="1">E11/SUM(E$10:E$22)*100</f>
        <v>9.0352810878903487</v>
      </c>
      <c r="G11" s="18">
        <f t="shared" si="0"/>
        <v>1.0396050852832683</v>
      </c>
    </row>
    <row r="12" spans="1:7" ht="15.75" customHeight="1">
      <c r="A12" s="8" t="s">
        <v>16</v>
      </c>
      <c r="B12" s="17" t="s">
        <v>34</v>
      </c>
      <c r="C12" s="18">
        <v>6.4072837284905217</v>
      </c>
      <c r="D12" s="107">
        <f>C12/SUM($C$33:$C$37)*$B$4</f>
        <v>123219723.00736932</v>
      </c>
      <c r="E12" s="69">
        <f>C12/SUM($C$33:$C$37)*$C$4</f>
        <v>149623949.36609131</v>
      </c>
      <c r="F12" s="42">
        <f t="shared" si="1"/>
        <v>7.2403646018049956</v>
      </c>
      <c r="G12" s="18">
        <f t="shared" si="0"/>
        <v>0.83308087331447389</v>
      </c>
    </row>
    <row r="13" spans="1:7" ht="15.75" customHeight="1">
      <c r="A13" s="8" t="s">
        <v>17</v>
      </c>
      <c r="B13" s="17" t="s">
        <v>35</v>
      </c>
      <c r="C13" s="18">
        <v>8.7060078078272163</v>
      </c>
      <c r="D13" s="107">
        <f>C13/SUM($C$33:$C$37)*$B$4</f>
        <v>167426934.10163555</v>
      </c>
      <c r="E13" s="69">
        <f>C13/SUM($C$33:$C$37)*$C$4</f>
        <v>203304134.26627171</v>
      </c>
      <c r="F13" s="42">
        <f t="shared" si="1"/>
        <v>9.8379708821916463</v>
      </c>
      <c r="G13" s="18">
        <f t="shared" si="0"/>
        <v>1.13196307436443</v>
      </c>
    </row>
    <row r="14" spans="1:7" ht="15.75" customHeight="1">
      <c r="A14" s="8" t="s">
        <v>18</v>
      </c>
      <c r="B14" s="17" t="s">
        <v>36</v>
      </c>
      <c r="C14" s="18">
        <v>14.92504644395113</v>
      </c>
      <c r="D14" s="107">
        <f>C14/SUM($C$33:$C$37)*$B$4</f>
        <v>287026479.02390313</v>
      </c>
      <c r="E14" s="69">
        <f>C14/SUM($C$33:$C$37)*$C$4</f>
        <v>348532153.10045385</v>
      </c>
      <c r="F14" s="42">
        <f t="shared" si="1"/>
        <v>16.865614593055888</v>
      </c>
      <c r="G14" s="18">
        <f t="shared" si="0"/>
        <v>1.9405681491047577</v>
      </c>
    </row>
    <row r="15" spans="1:7" ht="15.75" customHeight="1">
      <c r="A15" s="9" t="s">
        <v>19</v>
      </c>
      <c r="B15" s="5" t="s">
        <v>37</v>
      </c>
      <c r="C15" s="20">
        <v>4.2240674475306816</v>
      </c>
      <c r="D15" s="64">
        <f>C15/SUM(C$38:C$45)*$B$5</f>
        <v>76603171.637687936</v>
      </c>
      <c r="E15" s="21">
        <f>C15/SUM(C$38:C$45)*$C$5</f>
        <v>76603171.637687936</v>
      </c>
      <c r="F15" s="43">
        <f t="shared" si="1"/>
        <v>3.7068590600723899</v>
      </c>
      <c r="G15" s="20">
        <f t="shared" si="0"/>
        <v>-0.51720838745829179</v>
      </c>
    </row>
    <row r="16" spans="1:7" ht="15.75" customHeight="1">
      <c r="A16" s="9" t="s">
        <v>20</v>
      </c>
      <c r="B16" s="5" t="s">
        <v>38</v>
      </c>
      <c r="C16" s="20">
        <v>5.4564859656043447</v>
      </c>
      <c r="D16" s="64">
        <f>C16/SUM(C$38:C$45)*$B$5</f>
        <v>98952996.407803923</v>
      </c>
      <c r="E16" s="21">
        <f>C16/SUM(C$38:C$45)*$C$5</f>
        <v>98952996.407803923</v>
      </c>
      <c r="F16" s="43">
        <f t="shared" si="1"/>
        <v>4.7883762958336131</v>
      </c>
      <c r="G16" s="20">
        <f t="shared" si="0"/>
        <v>-0.66810966977073161</v>
      </c>
    </row>
    <row r="17" spans="1:7" ht="15.75" customHeight="1">
      <c r="A17" s="9" t="s">
        <v>21</v>
      </c>
      <c r="B17" s="5" t="s">
        <v>39</v>
      </c>
      <c r="C17" s="20">
        <v>5.3362529867713242</v>
      </c>
      <c r="D17" s="64">
        <f>C17/SUM(C$38:C$45)*$B$5</f>
        <v>96772579.634525239</v>
      </c>
      <c r="E17" s="21">
        <f>C17/SUM(C$38:C$45)*$C$5</f>
        <v>96772579.634525239</v>
      </c>
      <c r="F17" s="43">
        <f t="shared" si="1"/>
        <v>4.6828650291593048</v>
      </c>
      <c r="G17" s="20">
        <f t="shared" si="0"/>
        <v>-0.6533879576120194</v>
      </c>
    </row>
    <row r="18" spans="1:7" ht="15.75" customHeight="1">
      <c r="A18" s="9" t="s">
        <v>22</v>
      </c>
      <c r="B18" s="5" t="s">
        <v>40</v>
      </c>
      <c r="C18" s="20">
        <v>11.723294651888335</v>
      </c>
      <c r="D18" s="64">
        <f>C18/SUM(C$38:C$45)*$B$5</f>
        <v>212601139.43085143</v>
      </c>
      <c r="E18" s="21">
        <f>C18/SUM(C$38:C$45)*$C$5</f>
        <v>212601139.43085143</v>
      </c>
      <c r="F18" s="43">
        <f t="shared" si="1"/>
        <v>10.287856795386746</v>
      </c>
      <c r="G18" s="20">
        <f t="shared" si="0"/>
        <v>-1.4354378565015882</v>
      </c>
    </row>
    <row r="19" spans="1:7" ht="15.75" customHeight="1">
      <c r="A19" s="9" t="s">
        <v>23</v>
      </c>
      <c r="B19" s="5" t="s">
        <v>41</v>
      </c>
      <c r="C19" s="20">
        <v>5.4106059876267345</v>
      </c>
      <c r="D19" s="64">
        <f>C19/SUM(C$38:C$45)*$B$5</f>
        <v>98120966.17357868</v>
      </c>
      <c r="E19" s="21">
        <f>C19/SUM(C$38:C$45)*$C$5</f>
        <v>98120966.17357868</v>
      </c>
      <c r="F19" s="43">
        <f t="shared" si="1"/>
        <v>4.7481140097421246</v>
      </c>
      <c r="G19" s="20">
        <f t="shared" si="0"/>
        <v>-0.66249197788460989</v>
      </c>
    </row>
    <row r="20" spans="1:7" ht="15.75" customHeight="1">
      <c r="A20" s="9" t="s">
        <v>24</v>
      </c>
      <c r="B20" s="5" t="s">
        <v>42</v>
      </c>
      <c r="C20" s="20">
        <v>5.8345918572032183</v>
      </c>
      <c r="D20" s="64">
        <f>C20/SUM(C$38:C$45)*$B$5</f>
        <v>105809920.65703708</v>
      </c>
      <c r="E20" s="21">
        <f>C20/SUM(C$38:C$45)*$C$5</f>
        <v>105809920.65703708</v>
      </c>
      <c r="F20" s="43">
        <f t="shared" si="1"/>
        <v>5.120185687456698</v>
      </c>
      <c r="G20" s="20">
        <f t="shared" si="0"/>
        <v>-0.71440616974652027</v>
      </c>
    </row>
    <row r="21" spans="1:7" ht="15.75" customHeight="1">
      <c r="A21" s="9" t="s">
        <v>25</v>
      </c>
      <c r="B21" s="5" t="s">
        <v>43</v>
      </c>
      <c r="C21" s="20">
        <v>7.7378030898412282</v>
      </c>
      <c r="D21" s="64">
        <f>C21/SUM(C$38:C$45)*$B$5</f>
        <v>140324525.01113483</v>
      </c>
      <c r="E21" s="21">
        <f>C21/SUM(C$38:C$45)*$C$5</f>
        <v>140324525.01113483</v>
      </c>
      <c r="F21" s="43">
        <f t="shared" si="1"/>
        <v>6.7903616229901003</v>
      </c>
      <c r="G21" s="20">
        <f t="shared" si="0"/>
        <v>-0.94744146685112796</v>
      </c>
    </row>
    <row r="22" spans="1:7" ht="15.75" customHeight="1">
      <c r="A22" s="9" t="s">
        <v>26</v>
      </c>
      <c r="B22" s="5" t="s">
        <v>44</v>
      </c>
      <c r="C22" s="20">
        <v>5.777645811447619</v>
      </c>
      <c r="D22" s="64">
        <f>C22/SUM(C$38:C$45)*$B$5</f>
        <v>104777208.04738075</v>
      </c>
      <c r="E22" s="21">
        <f>C22/SUM(C$38:C$45)*$C$5</f>
        <v>104777208.04738075</v>
      </c>
      <c r="F22" s="43">
        <f t="shared" si="1"/>
        <v>5.070212298474039</v>
      </c>
      <c r="G22" s="20">
        <f t="shared" si="0"/>
        <v>-0.70743351297358004</v>
      </c>
    </row>
    <row r="23" spans="1:7" ht="15.75" customHeight="1">
      <c r="A23" s="22" t="s">
        <v>27</v>
      </c>
      <c r="B23" s="23"/>
      <c r="C23" s="23">
        <f>SUM(C10:C22)</f>
        <v>100</v>
      </c>
      <c r="D23" s="23"/>
      <c r="E23" s="35"/>
      <c r="F23" s="34"/>
      <c r="G23" s="23"/>
    </row>
    <row r="24" spans="1:7" ht="15.75" customHeight="1">
      <c r="D24" s="86"/>
    </row>
    <row r="27" spans="1:7" ht="15.75" customHeight="1">
      <c r="A27" s="1"/>
      <c r="B27" s="66" t="s">
        <v>1</v>
      </c>
      <c r="C27" s="66" t="s">
        <v>2</v>
      </c>
      <c r="D27" s="72"/>
    </row>
    <row r="28" spans="1:7" ht="15.75" customHeight="1">
      <c r="A28" s="67" t="s">
        <v>3</v>
      </c>
      <c r="B28" s="68">
        <f>B4/24.5</f>
        <v>38069329.714285716</v>
      </c>
      <c r="C28" s="68">
        <f>B28/70*85</f>
        <v>46227043.224489793</v>
      </c>
      <c r="D28" s="71" t="s">
        <v>4</v>
      </c>
      <c r="E28" s="145" t="s">
        <v>28</v>
      </c>
      <c r="F28" s="145"/>
    </row>
    <row r="29" spans="1:7" ht="15.75" customHeight="1">
      <c r="A29" s="67" t="s">
        <v>6</v>
      </c>
      <c r="B29" s="68">
        <f>B5/24.5</f>
        <v>38120918.653061226</v>
      </c>
      <c r="C29" s="68">
        <f>B29</f>
        <v>38120918.653061226</v>
      </c>
      <c r="D29" s="59"/>
      <c r="E29" s="145"/>
      <c r="F29" s="145"/>
    </row>
    <row r="30" spans="1:7" ht="15.75" customHeight="1">
      <c r="A30" s="3"/>
      <c r="B30" s="14"/>
      <c r="C30" s="15"/>
      <c r="D30" s="60"/>
    </row>
    <row r="31" spans="1:7" ht="15.75" customHeight="1">
      <c r="A31" s="16"/>
      <c r="B31" s="142" t="s">
        <v>30</v>
      </c>
      <c r="C31" s="143"/>
      <c r="D31" s="143"/>
      <c r="E31" s="143"/>
      <c r="F31" s="143"/>
      <c r="G31" s="144"/>
    </row>
    <row r="32" spans="1:7" ht="15.75" customHeight="1">
      <c r="A32" s="16"/>
      <c r="B32" s="73" t="s">
        <v>31</v>
      </c>
      <c r="C32" s="73" t="s">
        <v>11</v>
      </c>
      <c r="D32" s="73" t="s">
        <v>1</v>
      </c>
      <c r="E32" s="73" t="s">
        <v>2</v>
      </c>
      <c r="F32" s="73" t="s">
        <v>12</v>
      </c>
      <c r="G32" s="73" t="s">
        <v>13</v>
      </c>
    </row>
    <row r="33" spans="1:7" ht="15.75" customHeight="1">
      <c r="A33" s="8" t="s">
        <v>14</v>
      </c>
      <c r="B33" s="17" t="s">
        <v>32</v>
      </c>
      <c r="C33" s="18">
        <v>10.465238219210573</v>
      </c>
      <c r="D33" s="19">
        <f>C33/SUM(C$33:C$37)*$B$28</f>
        <v>8214654.5815923223</v>
      </c>
      <c r="E33" s="19">
        <f>C33/SUM(C$33:C$37)*$C$28</f>
        <v>9974937.7062192466</v>
      </c>
      <c r="F33" s="18">
        <f>E33/SUM(E$33:E$45)*100</f>
        <v>11.825938035942098</v>
      </c>
      <c r="G33" s="18">
        <f t="shared" ref="G33:G45" si="2">F33-C33</f>
        <v>1.3606998167315254</v>
      </c>
    </row>
    <row r="34" spans="1:7" ht="15.75" customHeight="1">
      <c r="A34" s="8" t="s">
        <v>15</v>
      </c>
      <c r="B34" s="17" t="s">
        <v>33</v>
      </c>
      <c r="C34" s="18">
        <v>7.9956760026070803</v>
      </c>
      <c r="D34" s="19">
        <f>C34/SUM(C$33:C$37)*$B$28</f>
        <v>6276179.7803298002</v>
      </c>
      <c r="E34" s="19">
        <f>C34/SUM(C$33:C$37)*$C$28</f>
        <v>7621075.4475433277</v>
      </c>
      <c r="F34" s="18">
        <f>E34/SUM(E$33:E$45)*100</f>
        <v>9.0352810878903487</v>
      </c>
      <c r="G34" s="18">
        <f t="shared" si="2"/>
        <v>1.0396050852832683</v>
      </c>
    </row>
    <row r="35" spans="1:7" ht="15.75" customHeight="1">
      <c r="A35" s="8" t="s">
        <v>16</v>
      </c>
      <c r="B35" s="17" t="s">
        <v>34</v>
      </c>
      <c r="C35" s="18">
        <v>6.4072837284905217</v>
      </c>
      <c r="D35" s="19">
        <f>C35/SUM(C$33:C$37)*$B$28</f>
        <v>5029376.4492803812</v>
      </c>
      <c r="E35" s="19">
        <f>C35/SUM(C$33:C$37)*$C$28</f>
        <v>6107099.974126176</v>
      </c>
      <c r="F35" s="18">
        <f>E35/SUM(E$33:E$45)*100</f>
        <v>7.2403646018049956</v>
      </c>
      <c r="G35" s="18">
        <f t="shared" si="2"/>
        <v>0.83308087331447389</v>
      </c>
    </row>
    <row r="36" spans="1:7" ht="15.75" customHeight="1">
      <c r="A36" s="8" t="s">
        <v>17</v>
      </c>
      <c r="B36" s="17" t="s">
        <v>35</v>
      </c>
      <c r="C36" s="18">
        <v>8.7060078078272163</v>
      </c>
      <c r="D36" s="19">
        <f>C36/SUM(C$33:C$37)*$B$28</f>
        <v>6833752.4123116545</v>
      </c>
      <c r="E36" s="19">
        <f>C36/SUM(C$33:C$37)*$C$28</f>
        <v>8298127.9292355794</v>
      </c>
      <c r="F36" s="18">
        <f>E36/SUM(E$33:E$45)*100</f>
        <v>9.8379708821916463</v>
      </c>
      <c r="G36" s="18">
        <f t="shared" si="2"/>
        <v>1.13196307436443</v>
      </c>
    </row>
    <row r="37" spans="1:7" ht="15.75" customHeight="1">
      <c r="A37" s="8" t="s">
        <v>18</v>
      </c>
      <c r="B37" s="17" t="s">
        <v>36</v>
      </c>
      <c r="C37" s="18">
        <v>14.92504644395113</v>
      </c>
      <c r="D37" s="19">
        <f>C37/SUM(C$33:C$37)*$B$28</f>
        <v>11715366.490771558</v>
      </c>
      <c r="E37" s="19">
        <f>C37/SUM(C$33:C$37)*$C$28</f>
        <v>14225802.167365462</v>
      </c>
      <c r="F37" s="18">
        <f>E37/SUM(E$33:E$45)*100</f>
        <v>16.865614593055888</v>
      </c>
      <c r="G37" s="18">
        <f t="shared" si="2"/>
        <v>1.9405681491047577</v>
      </c>
    </row>
    <row r="38" spans="1:7" ht="15.75" customHeight="1">
      <c r="A38" s="9" t="s">
        <v>19</v>
      </c>
      <c r="B38" s="5" t="s">
        <v>37</v>
      </c>
      <c r="C38" s="20">
        <v>4.2240674475306816</v>
      </c>
      <c r="D38" s="21">
        <f>C38/SUM(C$38:C$45)*$B$29</f>
        <v>3126660.0668444061</v>
      </c>
      <c r="E38" s="21">
        <f>C38/SUM(C$38:C$45)*$C$29</f>
        <v>3126660.0668444061</v>
      </c>
      <c r="F38" s="20">
        <f>E38/SUM(E$33:E$45)*100</f>
        <v>3.7068590600723907</v>
      </c>
      <c r="G38" s="20">
        <f t="shared" si="2"/>
        <v>-0.5172083874582909</v>
      </c>
    </row>
    <row r="39" spans="1:7" ht="15.75" customHeight="1">
      <c r="A39" s="9" t="s">
        <v>20</v>
      </c>
      <c r="B39" s="5" t="s">
        <v>38</v>
      </c>
      <c r="C39" s="20">
        <v>5.4564859656043447</v>
      </c>
      <c r="D39" s="21">
        <f>C39/SUM(C$38:C$45)*$B$29</f>
        <v>4038897.8125634259</v>
      </c>
      <c r="E39" s="21">
        <f>C39/SUM(C$38:C$45)*$C$29</f>
        <v>4038897.8125634259</v>
      </c>
      <c r="F39" s="20">
        <f>E39/SUM(E$33:E$45)*100</f>
        <v>4.788376295833614</v>
      </c>
      <c r="G39" s="20">
        <f t="shared" si="2"/>
        <v>-0.66810966977073072</v>
      </c>
    </row>
    <row r="40" spans="1:7" ht="15.75" customHeight="1">
      <c r="A40" s="9" t="s">
        <v>21</v>
      </c>
      <c r="B40" s="5" t="s">
        <v>39</v>
      </c>
      <c r="C40" s="20">
        <v>5.3362529867713242</v>
      </c>
      <c r="D40" s="21">
        <f>C40/SUM(C$38:C$45)*$B$29</f>
        <v>3949901.2095724586</v>
      </c>
      <c r="E40" s="21">
        <f>C40/SUM(C$38:C$45)*$C$29</f>
        <v>3949901.2095724586</v>
      </c>
      <c r="F40" s="20">
        <f>E40/SUM(E$33:E$45)*100</f>
        <v>4.6828650291593048</v>
      </c>
      <c r="G40" s="20">
        <f t="shared" si="2"/>
        <v>-0.6533879576120194</v>
      </c>
    </row>
    <row r="41" spans="1:7" ht="15.75" customHeight="1">
      <c r="A41" s="9" t="s">
        <v>22</v>
      </c>
      <c r="B41" s="5" t="s">
        <v>40</v>
      </c>
      <c r="C41" s="20">
        <v>11.723294651888335</v>
      </c>
      <c r="D41" s="21">
        <f>C41/SUM(C$38:C$45)*$B$29</f>
        <v>8677597.5277898554</v>
      </c>
      <c r="E41" s="21">
        <f>C41/SUM(C$38:C$45)*$C$29</f>
        <v>8677597.5277898554</v>
      </c>
      <c r="F41" s="20">
        <f>E41/SUM(E$33:E$45)*100</f>
        <v>10.287856795386748</v>
      </c>
      <c r="G41" s="20">
        <f t="shared" si="2"/>
        <v>-1.4354378565015864</v>
      </c>
    </row>
    <row r="42" spans="1:7" ht="15.75" customHeight="1">
      <c r="A42" s="9" t="s">
        <v>23</v>
      </c>
      <c r="B42" s="5" t="s">
        <v>41</v>
      </c>
      <c r="C42" s="20">
        <v>5.4106059876267345</v>
      </c>
      <c r="D42" s="21">
        <f>C42/SUM(C$38:C$45)*$B$29</f>
        <v>4004937.3948399462</v>
      </c>
      <c r="E42" s="21">
        <f>C42/SUM(C$38:C$45)*$C$29</f>
        <v>4004937.3948399462</v>
      </c>
      <c r="F42" s="20">
        <f>E42/SUM(E$33:E$45)*100</f>
        <v>4.7481140097421246</v>
      </c>
      <c r="G42" s="20">
        <f t="shared" si="2"/>
        <v>-0.66249197788460989</v>
      </c>
    </row>
    <row r="43" spans="1:7" ht="15.75" customHeight="1">
      <c r="A43" s="9" t="s">
        <v>24</v>
      </c>
      <c r="B43" s="5" t="s">
        <v>42</v>
      </c>
      <c r="C43" s="20">
        <v>5.8345918572032183</v>
      </c>
      <c r="D43" s="21">
        <f>C43/SUM(C$38:C$45)*$B$29</f>
        <v>4318772.2717157993</v>
      </c>
      <c r="E43" s="21">
        <f>C43/SUM(C$38:C$45)*$C$29</f>
        <v>4318772.2717157993</v>
      </c>
      <c r="F43" s="20">
        <f>E43/SUM(E$33:E$45)*100</f>
        <v>5.120185687456698</v>
      </c>
      <c r="G43" s="20">
        <f t="shared" si="2"/>
        <v>-0.71440616974652027</v>
      </c>
    </row>
    <row r="44" spans="1:7" ht="15.75" customHeight="1">
      <c r="A44" s="9" t="s">
        <v>25</v>
      </c>
      <c r="B44" s="5" t="s">
        <v>43</v>
      </c>
      <c r="C44" s="20">
        <v>7.7378030898412282</v>
      </c>
      <c r="D44" s="21">
        <f>C44/SUM(C$38:C$45)*$B$29</f>
        <v>5727531.6331075449</v>
      </c>
      <c r="E44" s="21">
        <f>C44/SUM(C$38:C$45)*$C$29</f>
        <v>5727531.6331075449</v>
      </c>
      <c r="F44" s="20">
        <f>E44/SUM(E$33:E$45)*100</f>
        <v>6.7903616229901003</v>
      </c>
      <c r="G44" s="20">
        <f t="shared" si="2"/>
        <v>-0.94744146685112796</v>
      </c>
    </row>
    <row r="45" spans="1:7" ht="15.75" customHeight="1">
      <c r="A45" s="9" t="s">
        <v>26</v>
      </c>
      <c r="B45" s="5" t="s">
        <v>44</v>
      </c>
      <c r="C45" s="20">
        <v>5.777645811447619</v>
      </c>
      <c r="D45" s="21">
        <f>C45/SUM(C$38:C$45)*$B$29</f>
        <v>4276620.7366277855</v>
      </c>
      <c r="E45" s="21">
        <f>C45/SUM(C$38:C$45)*$C$29</f>
        <v>4276620.7366277855</v>
      </c>
      <c r="F45" s="20">
        <f>E45/SUM(E$33:E$45)*100</f>
        <v>5.070212298474039</v>
      </c>
      <c r="G45" s="20">
        <f t="shared" si="2"/>
        <v>-0.70743351297358004</v>
      </c>
    </row>
    <row r="46" spans="1:7" ht="15.75" customHeight="1">
      <c r="A46" s="22" t="s">
        <v>27</v>
      </c>
      <c r="B46" s="23"/>
      <c r="C46" s="23">
        <f>SUM(C33:C45)</f>
        <v>100</v>
      </c>
      <c r="D46" s="23"/>
      <c r="E46" s="23"/>
      <c r="F46" s="34"/>
      <c r="G46" s="23"/>
    </row>
  </sheetData>
  <mergeCells count="4">
    <mergeCell ref="B31:G31"/>
    <mergeCell ref="E28:F29"/>
    <mergeCell ref="E4:F5"/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workbookViewId="0"/>
  </sheetViews>
  <sheetFormatPr defaultColWidth="9.140625" defaultRowHeight="12.75"/>
  <cols>
    <col min="1" max="1" width="20.7109375" style="24" bestFit="1" customWidth="1"/>
    <col min="2" max="3" width="14.140625" style="24" bestFit="1" customWidth="1"/>
    <col min="4" max="5" width="15.28515625" style="24" bestFit="1" customWidth="1"/>
    <col min="6" max="6" width="9.7109375" style="24" bestFit="1" customWidth="1"/>
    <col min="7" max="7" width="10.7109375" style="24" bestFit="1" customWidth="1"/>
    <col min="8" max="8" width="10.28515625" style="24" bestFit="1" customWidth="1"/>
    <col min="9" max="9" width="23.42578125" style="24" customWidth="1"/>
    <col min="10" max="10" width="19.140625" style="24" customWidth="1"/>
    <col min="11" max="16384" width="9.140625" style="24"/>
  </cols>
  <sheetData>
    <row r="1" spans="1:10" ht="15.75" customHeight="1">
      <c r="A1" s="1" t="s">
        <v>45</v>
      </c>
      <c r="B1" s="2"/>
      <c r="C1" s="2"/>
      <c r="D1" s="2"/>
    </row>
    <row r="2" spans="1:10" ht="15.75" customHeight="1">
      <c r="A2" s="1"/>
      <c r="B2" s="2" t="s">
        <v>1</v>
      </c>
      <c r="C2" s="2" t="s">
        <v>2</v>
      </c>
      <c r="D2" s="2"/>
      <c r="E2"/>
      <c r="F2"/>
      <c r="G2"/>
      <c r="H2"/>
    </row>
    <row r="3" spans="1:10" ht="15.75" customHeight="1">
      <c r="A3" s="25" t="s">
        <v>46</v>
      </c>
      <c r="B3" s="4">
        <f>B26*24.5</f>
        <v>367500000</v>
      </c>
      <c r="C3" s="4">
        <f>B3/40*90</f>
        <v>826875000</v>
      </c>
      <c r="D3" s="26" t="s">
        <v>47</v>
      </c>
      <c r="E3" s="148" t="s">
        <v>5</v>
      </c>
      <c r="F3" s="148"/>
      <c r="G3"/>
      <c r="H3"/>
    </row>
    <row r="4" spans="1:10" ht="15.75" customHeight="1">
      <c r="A4" s="92" t="s">
        <v>3</v>
      </c>
      <c r="B4" s="93">
        <v>977081000</v>
      </c>
      <c r="C4" s="93">
        <f>B4/70*90</f>
        <v>1256247000</v>
      </c>
      <c r="D4" s="26" t="s">
        <v>48</v>
      </c>
      <c r="E4" s="148"/>
      <c r="F4" s="148"/>
      <c r="G4" s="88"/>
      <c r="J4" s="61"/>
    </row>
    <row r="5" spans="1:10" ht="15.75" customHeight="1">
      <c r="A5" s="25" t="s">
        <v>6</v>
      </c>
      <c r="B5" s="4">
        <v>1750969876</v>
      </c>
      <c r="C5" s="4">
        <f>B5/85*90</f>
        <v>1853968104.0000002</v>
      </c>
      <c r="D5" s="26" t="s">
        <v>49</v>
      </c>
      <c r="E5" s="148"/>
      <c r="F5" s="148"/>
    </row>
    <row r="6" spans="1:10" ht="15.75" customHeight="1">
      <c r="A6" s="59"/>
      <c r="B6" s="95">
        <f>SUM(B3:B5)</f>
        <v>3095550876</v>
      </c>
      <c r="C6" s="95">
        <f>SUM(C3:C5)</f>
        <v>3937090104</v>
      </c>
      <c r="D6" s="59"/>
    </row>
    <row r="7" spans="1:10" ht="15.75" customHeight="1">
      <c r="A7" s="94"/>
      <c r="B7" s="94"/>
      <c r="C7" s="94"/>
      <c r="D7" s="59"/>
    </row>
    <row r="8" spans="1:10" ht="15.75" customHeight="1">
      <c r="A8" s="16"/>
      <c r="B8" s="142" t="s">
        <v>50</v>
      </c>
      <c r="C8" s="143"/>
      <c r="D8" s="146"/>
      <c r="E8" s="146"/>
      <c r="F8" s="146"/>
      <c r="G8" s="146"/>
      <c r="H8" s="147"/>
    </row>
    <row r="9" spans="1:10" ht="30">
      <c r="A9" s="16"/>
      <c r="B9" s="73" t="s">
        <v>31</v>
      </c>
      <c r="C9" s="7" t="s">
        <v>11</v>
      </c>
      <c r="D9" s="7" t="s">
        <v>1</v>
      </c>
      <c r="E9" s="73" t="s">
        <v>2</v>
      </c>
      <c r="F9" s="6" t="s">
        <v>12</v>
      </c>
      <c r="G9" s="73" t="s">
        <v>13</v>
      </c>
      <c r="H9" s="73" t="s">
        <v>51</v>
      </c>
    </row>
    <row r="10" spans="1:10" ht="15.75" customHeight="1">
      <c r="A10" s="8" t="s">
        <v>15</v>
      </c>
      <c r="B10" s="27">
        <v>47786</v>
      </c>
      <c r="C10" s="39">
        <f>(B10/B24)*100</f>
        <v>11.052951748288949</v>
      </c>
      <c r="D10" s="63">
        <f>C10/SUM(C$32:C$36)*$B$4</f>
        <v>294994172.65932512</v>
      </c>
      <c r="E10" s="19">
        <f>C10/SUM(C$32:C$36)*$C$4</f>
        <v>379278221.99056083</v>
      </c>
      <c r="F10" s="42">
        <f>E10/SUM(E$10:E$23)*100</f>
        <v>9.6334656299895745</v>
      </c>
      <c r="G10" s="18">
        <f t="shared" ref="G10:G23" si="0">F10-C10</f>
        <v>-1.4194861182993748</v>
      </c>
      <c r="H10" s="19">
        <f>E10/$B10</f>
        <v>7937.0154855095807</v>
      </c>
    </row>
    <row r="11" spans="1:10" ht="15.75" customHeight="1">
      <c r="A11" s="8" t="s">
        <v>14</v>
      </c>
      <c r="B11" s="27">
        <v>27344</v>
      </c>
      <c r="C11" s="39">
        <f>(B11/B24)*100</f>
        <v>6.3246957813002354</v>
      </c>
      <c r="D11" s="63">
        <f>C11/SUM(C$32:C$36)*$B$4</f>
        <v>168800917.78337976</v>
      </c>
      <c r="E11" s="19">
        <f>C11/SUM(C$32:C$36)*$C$4</f>
        <v>217029751.435774</v>
      </c>
      <c r="F11" s="42">
        <f>E11/SUM(E$10:E$23)*100</f>
        <v>5.5124405513421282</v>
      </c>
      <c r="G11" s="18">
        <f t="shared" si="0"/>
        <v>-0.81225522995810717</v>
      </c>
      <c r="H11" s="19">
        <f>E11/$B11</f>
        <v>7937.0154855095816</v>
      </c>
    </row>
    <row r="12" spans="1:10" ht="15.75" customHeight="1">
      <c r="A12" s="8" t="s">
        <v>16</v>
      </c>
      <c r="B12" s="27">
        <v>20757</v>
      </c>
      <c r="C12" s="39">
        <f>(B12/B24)*100</f>
        <v>4.8011157962422839</v>
      </c>
      <c r="D12" s="63">
        <f>C12/SUM(C$32:C$36)*$B$4</f>
        <v>128137823.6698952</v>
      </c>
      <c r="E12" s="19">
        <f>C12/SUM(C$32:C$36)*$C$4</f>
        <v>164748630.43272242</v>
      </c>
      <c r="F12" s="42">
        <f>E12/SUM(E$10:E$23)*100</f>
        <v>4.1845278132024788</v>
      </c>
      <c r="G12" s="18">
        <f t="shared" si="0"/>
        <v>-0.61658798303980511</v>
      </c>
      <c r="H12" s="19">
        <f>E12/$B12</f>
        <v>7937.0154855095834</v>
      </c>
    </row>
    <row r="13" spans="1:10" ht="15.75" customHeight="1">
      <c r="A13" s="8" t="s">
        <v>17</v>
      </c>
      <c r="B13" s="27">
        <v>23168</v>
      </c>
      <c r="C13" s="39">
        <f>(B13/B24)*100</f>
        <v>5.3587826163386438</v>
      </c>
      <c r="D13" s="63">
        <f>C13/SUM(C$32:C$36)*$B$4</f>
        <v>143021491.48644468</v>
      </c>
      <c r="E13" s="19">
        <f>C13/SUM(C$32:C$36)*$C$4</f>
        <v>183884774.76828602</v>
      </c>
      <c r="F13" s="42">
        <f>E13/SUM(E$10:E$23)*100</f>
        <v>4.6705757275268596</v>
      </c>
      <c r="G13" s="18">
        <f t="shared" si="0"/>
        <v>-0.68820688881178427</v>
      </c>
      <c r="H13" s="19">
        <f>E13/$B13</f>
        <v>7937.0154855095834</v>
      </c>
    </row>
    <row r="14" spans="1:10" ht="15.75" customHeight="1">
      <c r="A14" s="8" t="s">
        <v>18</v>
      </c>
      <c r="B14" s="27">
        <v>39222</v>
      </c>
      <c r="C14" s="39">
        <f>(B14/B24)*100</f>
        <v>9.0720895967728872</v>
      </c>
      <c r="D14" s="63">
        <f>C14/SUM(C$32:C$36)*$B$4</f>
        <v>242126594.40095529</v>
      </c>
      <c r="E14" s="19">
        <f>C14/SUM(C$32:C$36)*$C$4</f>
        <v>311305621.37265682</v>
      </c>
      <c r="F14" s="42">
        <f>E14/SUM(E$10:E$23)*100</f>
        <v>7.906997634023587</v>
      </c>
      <c r="G14" s="18">
        <f t="shared" si="0"/>
        <v>-1.1650919627493002</v>
      </c>
      <c r="H14" s="19">
        <f>E14/$B14</f>
        <v>7937.0154855095816</v>
      </c>
    </row>
    <row r="15" spans="1:10" ht="15.75" customHeight="1">
      <c r="A15" s="9" t="s">
        <v>19</v>
      </c>
      <c r="B15" s="28">
        <v>10541</v>
      </c>
      <c r="C15" s="40">
        <f>(B15/B24)*100</f>
        <v>2.4381443179741726</v>
      </c>
      <c r="D15" s="64">
        <f>C15/SUM(C$37:C$44)*$B$5</f>
        <v>90131622.844817311</v>
      </c>
      <c r="E15" s="21">
        <f>C15/SUM(C$37:C$44)*$C$5</f>
        <v>95433483.012159511</v>
      </c>
      <c r="F15" s="43">
        <f>E15/SUM(E$10:E$23)*100</f>
        <v>2.4239598406752516</v>
      </c>
      <c r="G15" s="20">
        <f t="shared" si="0"/>
        <v>-1.4184477298921028E-2</v>
      </c>
      <c r="H15" s="21">
        <f>E15/$B15</f>
        <v>9053.5511822559074</v>
      </c>
    </row>
    <row r="16" spans="1:10" ht="15.75" customHeight="1">
      <c r="A16" s="9" t="s">
        <v>20</v>
      </c>
      <c r="B16" s="28">
        <v>22966</v>
      </c>
      <c r="C16" s="40">
        <f>(B16/B24)*100</f>
        <v>5.3120598051982597</v>
      </c>
      <c r="D16" s="64">
        <f>C16/SUM(C$37:C$44)*$B$5</f>
        <v>196372531.09326199</v>
      </c>
      <c r="E16" s="21">
        <f>C16/SUM(C$37:C$44)*$C$5</f>
        <v>207923856.45168918</v>
      </c>
      <c r="F16" s="43">
        <f>E16/SUM(E$10:E$23)*100</f>
        <v>5.2811556494590493</v>
      </c>
      <c r="G16" s="20">
        <f t="shared" si="0"/>
        <v>-3.0904155739210459E-2</v>
      </c>
      <c r="H16" s="21">
        <f>E16/$B16</f>
        <v>9053.5511822559074</v>
      </c>
    </row>
    <row r="17" spans="1:9" ht="15.75" customHeight="1">
      <c r="A17" s="9" t="s">
        <v>21</v>
      </c>
      <c r="B17" s="28">
        <v>16117</v>
      </c>
      <c r="C17" s="40">
        <f>(B17/B24)*100</f>
        <v>3.7278789462849584</v>
      </c>
      <c r="D17" s="64">
        <f>C17/SUM(C$37:C$44)*$B$5</f>
        <v>137809635.27083966</v>
      </c>
      <c r="E17" s="21">
        <f>C17/SUM(C$37:C$44)*$C$5</f>
        <v>145916084.4044185</v>
      </c>
      <c r="F17" s="43">
        <f>E17/SUM(E$10:E$23)*100</f>
        <v>3.7061911348224119</v>
      </c>
      <c r="G17" s="20">
        <f t="shared" si="0"/>
        <v>-2.1687811462546502E-2</v>
      </c>
      <c r="H17" s="21">
        <f>E17/$B17</f>
        <v>9053.5511822559092</v>
      </c>
    </row>
    <row r="18" spans="1:9" ht="15.75" customHeight="1">
      <c r="A18" s="9" t="s">
        <v>22</v>
      </c>
      <c r="B18" s="28">
        <v>48499</v>
      </c>
      <c r="C18" s="40">
        <f>(B18/B24)*100</f>
        <v>11.217869393551789</v>
      </c>
      <c r="D18" s="64">
        <f>C18/SUM(C$37:C$44)*$B$5</f>
        <v>414694391.07777202</v>
      </c>
      <c r="E18" s="21">
        <f>C18/SUM(C$37:C$44)*$C$5</f>
        <v>439088178.78822929</v>
      </c>
      <c r="F18" s="43">
        <f>E18/SUM(E$10:E$23)*100</f>
        <v>11.152606803235846</v>
      </c>
      <c r="G18" s="20">
        <f t="shared" si="0"/>
        <v>-6.5262590315942504E-2</v>
      </c>
      <c r="H18" s="21">
        <f>E18/$B18</f>
        <v>9053.5511822559074</v>
      </c>
    </row>
    <row r="19" spans="1:9" ht="15.75" customHeight="1">
      <c r="A19" s="9" t="s">
        <v>23</v>
      </c>
      <c r="B19" s="28">
        <v>27470</v>
      </c>
      <c r="C19" s="40">
        <f>(B19/B24)*100</f>
        <v>6.3538397130016637</v>
      </c>
      <c r="D19" s="64">
        <f>C19/SUM(C$37:C$44)*$B$5</f>
        <v>234884325.92231593</v>
      </c>
      <c r="E19" s="21">
        <f>C19/SUM(C$37:C$44)*$C$5</f>
        <v>248701050.97656983</v>
      </c>
      <c r="F19" s="43">
        <f>E19/SUM(E$10:E$23)*100</f>
        <v>6.3168747579308588</v>
      </c>
      <c r="G19" s="20">
        <f t="shared" si="0"/>
        <v>-3.6964955070804884E-2</v>
      </c>
      <c r="H19" s="21">
        <f>E19/$B19</f>
        <v>9053.5511822559092</v>
      </c>
    </row>
    <row r="20" spans="1:9" ht="15.75" customHeight="1">
      <c r="A20" s="9" t="s">
        <v>24</v>
      </c>
      <c r="B20" s="28">
        <v>22212</v>
      </c>
      <c r="C20" s="40">
        <f>(B20/B24)*100</f>
        <v>5.1376588170801947</v>
      </c>
      <c r="D20" s="64">
        <f>C20/SUM(C$37:C$44)*$B$5</f>
        <v>189925396.70136443</v>
      </c>
      <c r="E20" s="21">
        <f>C20/SUM(C$37:C$44)*$C$5</f>
        <v>201097478.86026827</v>
      </c>
      <c r="F20" s="43">
        <f>E20/SUM(E$10:E$23)*100</f>
        <v>5.1077692800567984</v>
      </c>
      <c r="G20" s="20">
        <f t="shared" si="0"/>
        <v>-2.9889537023396251E-2</v>
      </c>
      <c r="H20" s="21">
        <f>E20/$B20</f>
        <v>9053.5511822559092</v>
      </c>
    </row>
    <row r="21" spans="1:9" ht="15.75" customHeight="1">
      <c r="A21" s="9" t="s">
        <v>25</v>
      </c>
      <c r="B21" s="28">
        <v>32379</v>
      </c>
      <c r="C21" s="40">
        <f>(B21/B24)*100</f>
        <v>7.4892965441310828</v>
      </c>
      <c r="D21" s="64">
        <f>C21/SUM(C$37:C$44)*$B$5</f>
        <v>276859104.0785827</v>
      </c>
      <c r="E21" s="21">
        <f>C21/SUM(C$37:C$44)*$C$5</f>
        <v>293144933.73026407</v>
      </c>
      <c r="F21" s="43">
        <f>E21/SUM(E$10:E$23)*100</f>
        <v>7.4457258022221788</v>
      </c>
      <c r="G21" s="20">
        <f t="shared" si="0"/>
        <v>-4.3570741908903976E-2</v>
      </c>
      <c r="H21" s="21">
        <f>E21/$B21</f>
        <v>9053.5511822559092</v>
      </c>
    </row>
    <row r="22" spans="1:9" ht="15.75" customHeight="1">
      <c r="A22" s="9" t="s">
        <v>26</v>
      </c>
      <c r="B22" s="28">
        <v>24594</v>
      </c>
      <c r="C22" s="40">
        <f>(B22/B24)*100</f>
        <v>5.6886179068643212</v>
      </c>
      <c r="D22" s="64">
        <f>C22/SUM(C$37:C$44)*$B$5</f>
        <v>210292869.01104614</v>
      </c>
      <c r="E22" s="21">
        <f>C22/SUM(C$37:C$44)*$C$5</f>
        <v>222663037.77640185</v>
      </c>
      <c r="F22" s="43">
        <f>E22/SUM(E$10:E$23)*100</f>
        <v>5.6555230359137809</v>
      </c>
      <c r="G22" s="20">
        <f t="shared" si="0"/>
        <v>-3.3094870950540312E-2</v>
      </c>
      <c r="H22" s="21">
        <f>E22/$B22</f>
        <v>9053.5511822559092</v>
      </c>
    </row>
    <row r="23" spans="1:9" ht="15.75" customHeight="1">
      <c r="A23" s="29" t="s">
        <v>52</v>
      </c>
      <c r="B23" s="30">
        <v>69282</v>
      </c>
      <c r="C23" s="41">
        <f>(B23/B24)*100</f>
        <v>16.024999016970558</v>
      </c>
      <c r="D23" s="65">
        <f>B3</f>
        <v>367500000</v>
      </c>
      <c r="E23" s="32">
        <f>C3</f>
        <v>826875000</v>
      </c>
      <c r="F23" s="44">
        <f>E23/SUM(E$10:E$23)*100</f>
        <v>21.002186339599199</v>
      </c>
      <c r="G23" s="31">
        <f t="shared" si="0"/>
        <v>4.9771873226286409</v>
      </c>
      <c r="H23" s="32">
        <f>E23/$B23</f>
        <v>11934.918160561185</v>
      </c>
    </row>
    <row r="24" spans="1:9" ht="15.75" customHeight="1">
      <c r="A24" s="22" t="s">
        <v>27</v>
      </c>
      <c r="B24" s="33">
        <v>432337</v>
      </c>
      <c r="C24" s="34">
        <f>SUM(C10:C23)</f>
        <v>99.999999999999986</v>
      </c>
      <c r="D24" s="62"/>
      <c r="E24" s="35"/>
      <c r="F24" s="35"/>
      <c r="G24" s="35"/>
      <c r="H24" s="35"/>
    </row>
    <row r="25" spans="1:9" ht="15.75" customHeight="1">
      <c r="A25" s="1"/>
      <c r="B25" s="2" t="s">
        <v>1</v>
      </c>
      <c r="C25" s="2" t="s">
        <v>2</v>
      </c>
      <c r="D25" s="2"/>
      <c r="E25"/>
      <c r="F25"/>
      <c r="G25"/>
      <c r="H25"/>
    </row>
    <row r="26" spans="1:9" ht="15.75" customHeight="1">
      <c r="A26" s="25" t="s">
        <v>46</v>
      </c>
      <c r="B26" s="4">
        <v>15000000</v>
      </c>
      <c r="C26" s="4">
        <f>B26/40*90</f>
        <v>33750000</v>
      </c>
      <c r="D26" s="26" t="s">
        <v>47</v>
      </c>
      <c r="E26" s="148" t="s">
        <v>28</v>
      </c>
      <c r="F26" s="148"/>
      <c r="G26"/>
      <c r="H26"/>
    </row>
    <row r="27" spans="1:9" ht="15.75" customHeight="1">
      <c r="A27" s="25" t="s">
        <v>3</v>
      </c>
      <c r="B27" s="4">
        <f>B4/24.5</f>
        <v>39880857.142857142</v>
      </c>
      <c r="C27" s="4">
        <f>B27/70*90</f>
        <v>51275387.755102038</v>
      </c>
      <c r="D27" s="26" t="s">
        <v>48</v>
      </c>
      <c r="E27" s="148"/>
      <c r="F27" s="148"/>
    </row>
    <row r="28" spans="1:9" ht="15.75" customHeight="1">
      <c r="A28" s="25" t="s">
        <v>6</v>
      </c>
      <c r="B28" s="4">
        <f>B5/24.5</f>
        <v>71468158.20408164</v>
      </c>
      <c r="C28" s="4">
        <f>B28/85*90</f>
        <v>75672167.510204092</v>
      </c>
      <c r="D28" s="26" t="s">
        <v>49</v>
      </c>
      <c r="E28" s="148"/>
      <c r="F28" s="148"/>
    </row>
    <row r="29" spans="1:9">
      <c r="A29" s="3"/>
      <c r="B29" s="14"/>
      <c r="C29" s="14"/>
      <c r="D29" s="59"/>
      <c r="I29" s="88"/>
    </row>
    <row r="30" spans="1:9" ht="15">
      <c r="A30" s="16"/>
      <c r="B30" s="142" t="s">
        <v>50</v>
      </c>
      <c r="C30" s="143"/>
      <c r="D30" s="146"/>
      <c r="E30" s="146"/>
      <c r="F30" s="146"/>
      <c r="G30" s="146"/>
      <c r="H30" s="147"/>
    </row>
    <row r="31" spans="1:9" ht="30">
      <c r="A31" s="16"/>
      <c r="B31" s="73" t="s">
        <v>31</v>
      </c>
      <c r="C31" s="7" t="s">
        <v>11</v>
      </c>
      <c r="D31" s="7" t="s">
        <v>1</v>
      </c>
      <c r="E31" s="73" t="s">
        <v>2</v>
      </c>
      <c r="F31" s="6" t="s">
        <v>12</v>
      </c>
      <c r="G31" s="73" t="s">
        <v>13</v>
      </c>
      <c r="H31" s="73" t="s">
        <v>51</v>
      </c>
    </row>
    <row r="32" spans="1:9" ht="15">
      <c r="A32" s="8" t="s">
        <v>15</v>
      </c>
      <c r="B32" s="27">
        <v>47786</v>
      </c>
      <c r="C32" s="39">
        <f>(B32/B46)*100</f>
        <v>11.052951748288949</v>
      </c>
      <c r="D32" s="63">
        <f>C32/SUM(C$32:C$36)*$B$27</f>
        <v>12040578.475890821</v>
      </c>
      <c r="E32" s="19">
        <f>C32/SUM(C$32:C$36)*$C$27</f>
        <v>15480743.754716769</v>
      </c>
      <c r="F32" s="42">
        <f>E32/SUM(E$32:E$45)*100</f>
        <v>9.6334656299895762</v>
      </c>
      <c r="G32" s="18">
        <f t="shared" ref="G32:G45" si="1">F32-C32</f>
        <v>-1.419486118299373</v>
      </c>
      <c r="H32" s="19">
        <f>E32/$B32</f>
        <v>323.95981573508493</v>
      </c>
    </row>
    <row r="33" spans="1:8" ht="15">
      <c r="A33" s="8" t="s">
        <v>14</v>
      </c>
      <c r="B33" s="27">
        <v>27344</v>
      </c>
      <c r="C33" s="39">
        <f>(B33/B46)*100</f>
        <v>6.3246957813002354</v>
      </c>
      <c r="D33" s="63">
        <f t="shared" ref="D33:D36" si="2">C33/SUM(C$32:C$36)*$B$27</f>
        <v>6889833.3789134603</v>
      </c>
      <c r="E33" s="19">
        <f>C33/SUM(C$32:C$36)*$C$27</f>
        <v>8858357.2014601622</v>
      </c>
      <c r="F33" s="42">
        <f t="shared" ref="F33:F45" si="3">E33/SUM(E$32:E$45)*100</f>
        <v>5.5124405513421282</v>
      </c>
      <c r="G33" s="18">
        <f t="shared" si="1"/>
        <v>-0.81225522995810717</v>
      </c>
      <c r="H33" s="19">
        <f t="shared" ref="H33:H45" si="4">E33/$B33</f>
        <v>323.95981573508493</v>
      </c>
    </row>
    <row r="34" spans="1:8" ht="15">
      <c r="A34" s="8" t="s">
        <v>16</v>
      </c>
      <c r="B34" s="27">
        <v>20757</v>
      </c>
      <c r="C34" s="39">
        <f>(B34/B46)*100</f>
        <v>4.8011157962422839</v>
      </c>
      <c r="D34" s="63">
        <f t="shared" si="2"/>
        <v>5230115.2518324573</v>
      </c>
      <c r="E34" s="19">
        <f>C34/SUM(C$32:C$36)*$C$27</f>
        <v>6724433.8952131588</v>
      </c>
      <c r="F34" s="42">
        <f t="shared" si="3"/>
        <v>4.1845278132024788</v>
      </c>
      <c r="G34" s="18">
        <f t="shared" si="1"/>
        <v>-0.61658798303980511</v>
      </c>
      <c r="H34" s="19">
        <f t="shared" si="4"/>
        <v>323.95981573508499</v>
      </c>
    </row>
    <row r="35" spans="1:8" ht="15">
      <c r="A35" s="8" t="s">
        <v>17</v>
      </c>
      <c r="B35" s="27">
        <v>23168</v>
      </c>
      <c r="C35" s="39">
        <f>(B35/B46)*100</f>
        <v>5.3587826163386438</v>
      </c>
      <c r="D35" s="63">
        <f t="shared" si="2"/>
        <v>5837611.8974059047</v>
      </c>
      <c r="E35" s="19">
        <f>C35/SUM(C$32:C$36)*$C$27</f>
        <v>7505501.0109504489</v>
      </c>
      <c r="F35" s="42">
        <f t="shared" si="3"/>
        <v>4.6705757275268596</v>
      </c>
      <c r="G35" s="18">
        <f t="shared" si="1"/>
        <v>-0.68820688881178427</v>
      </c>
      <c r="H35" s="19">
        <f t="shared" si="4"/>
        <v>323.95981573508499</v>
      </c>
    </row>
    <row r="36" spans="1:8" ht="15">
      <c r="A36" s="8" t="s">
        <v>18</v>
      </c>
      <c r="B36" s="27">
        <v>39222</v>
      </c>
      <c r="C36" s="39">
        <f>(B36/B46)*100</f>
        <v>9.0720895967728872</v>
      </c>
      <c r="D36" s="63">
        <f t="shared" si="2"/>
        <v>9882718.1388145015</v>
      </c>
      <c r="E36" s="19">
        <f>C36/SUM(C$32:C$36)*$C$27</f>
        <v>12706351.892761501</v>
      </c>
      <c r="F36" s="42">
        <f t="shared" si="3"/>
        <v>7.906997634023587</v>
      </c>
      <c r="G36" s="18">
        <f t="shared" si="1"/>
        <v>-1.1650919627493002</v>
      </c>
      <c r="H36" s="19">
        <f t="shared" si="4"/>
        <v>323.95981573508493</v>
      </c>
    </row>
    <row r="37" spans="1:8" ht="15">
      <c r="A37" s="9" t="s">
        <v>19</v>
      </c>
      <c r="B37" s="28">
        <v>10541</v>
      </c>
      <c r="C37" s="40">
        <f>(B37/B46)*100</f>
        <v>2.4381443179741726</v>
      </c>
      <c r="D37" s="64">
        <f>C37/SUM(C$37:C$44)*$B$28</f>
        <v>3678841.7487680539</v>
      </c>
      <c r="E37" s="21">
        <f>C37/SUM(C$37:C$44)*$C$28</f>
        <v>3895244.2045779396</v>
      </c>
      <c r="F37" s="43">
        <f t="shared" si="3"/>
        <v>2.4239598406752521</v>
      </c>
      <c r="G37" s="20">
        <f t="shared" si="1"/>
        <v>-1.4184477298920584E-2</v>
      </c>
      <c r="H37" s="21">
        <f t="shared" si="4"/>
        <v>369.53270131656762</v>
      </c>
    </row>
    <row r="38" spans="1:8" ht="15">
      <c r="A38" s="9" t="s">
        <v>20</v>
      </c>
      <c r="B38" s="28">
        <v>22966</v>
      </c>
      <c r="C38" s="40">
        <f>(B38/B46)*100</f>
        <v>5.3120598051982597</v>
      </c>
      <c r="D38" s="64">
        <f t="shared" ref="D38:D44" si="5">C38/SUM(C$37:C$44)*$B$28</f>
        <v>8015205.3507453883</v>
      </c>
      <c r="E38" s="21">
        <f t="shared" ref="E38:E44" si="6">C38/SUM(C$37:C$44)*$C$28</f>
        <v>8486688.018436294</v>
      </c>
      <c r="F38" s="43">
        <f t="shared" si="3"/>
        <v>5.281155649459051</v>
      </c>
      <c r="G38" s="20">
        <f t="shared" si="1"/>
        <v>-3.0904155739208683E-2</v>
      </c>
      <c r="H38" s="21">
        <f t="shared" si="4"/>
        <v>369.53270131656774</v>
      </c>
    </row>
    <row r="39" spans="1:8" ht="15">
      <c r="A39" s="9" t="s">
        <v>21</v>
      </c>
      <c r="B39" s="28">
        <v>16117</v>
      </c>
      <c r="C39" s="40">
        <f>(B39/B46)*100</f>
        <v>3.7278789462849584</v>
      </c>
      <c r="D39" s="64">
        <f t="shared" si="5"/>
        <v>5624883.0722791711</v>
      </c>
      <c r="E39" s="21">
        <f t="shared" si="6"/>
        <v>5955758.547119122</v>
      </c>
      <c r="F39" s="43">
        <f t="shared" si="3"/>
        <v>3.7061911348224128</v>
      </c>
      <c r="G39" s="20">
        <f t="shared" si="1"/>
        <v>-2.1687811462545614E-2</v>
      </c>
      <c r="H39" s="21">
        <f t="shared" si="4"/>
        <v>369.53270131656774</v>
      </c>
    </row>
    <row r="40" spans="1:8" ht="15">
      <c r="A40" s="9" t="s">
        <v>22</v>
      </c>
      <c r="B40" s="28">
        <v>48499</v>
      </c>
      <c r="C40" s="40">
        <f>(B40/B46)*100</f>
        <v>11.217869393551789</v>
      </c>
      <c r="D40" s="64">
        <f t="shared" si="5"/>
        <v>16926301.676643759</v>
      </c>
      <c r="E40" s="21">
        <f t="shared" si="6"/>
        <v>17921966.481152214</v>
      </c>
      <c r="F40" s="43">
        <f t="shared" si="3"/>
        <v>11.152606803235846</v>
      </c>
      <c r="G40" s="20">
        <f t="shared" si="1"/>
        <v>-6.5262590315942504E-2</v>
      </c>
      <c r="H40" s="21">
        <f t="shared" si="4"/>
        <v>369.53270131656762</v>
      </c>
    </row>
    <row r="41" spans="1:8" ht="15">
      <c r="A41" s="9" t="s">
        <v>23</v>
      </c>
      <c r="B41" s="28">
        <v>27470</v>
      </c>
      <c r="C41" s="40">
        <f>(B41/B46)*100</f>
        <v>6.3538397130016637</v>
      </c>
      <c r="D41" s="64">
        <f t="shared" si="5"/>
        <v>9587115.3437679969</v>
      </c>
      <c r="E41" s="21">
        <f t="shared" si="6"/>
        <v>10151063.305166116</v>
      </c>
      <c r="F41" s="43">
        <f t="shared" si="3"/>
        <v>6.3168747579308597</v>
      </c>
      <c r="G41" s="20">
        <f t="shared" si="1"/>
        <v>-3.6964955070803995E-2</v>
      </c>
      <c r="H41" s="21">
        <f t="shared" si="4"/>
        <v>369.53270131656774</v>
      </c>
    </row>
    <row r="42" spans="1:8" ht="15">
      <c r="A42" s="9" t="s">
        <v>24</v>
      </c>
      <c r="B42" s="28">
        <v>22212</v>
      </c>
      <c r="C42" s="40">
        <f>(B42/B46)*100</f>
        <v>5.1376588170801947</v>
      </c>
      <c r="D42" s="64">
        <f t="shared" si="5"/>
        <v>7752057.0082189571</v>
      </c>
      <c r="E42" s="21">
        <f t="shared" si="6"/>
        <v>8208060.3616436021</v>
      </c>
      <c r="F42" s="43">
        <f t="shared" si="3"/>
        <v>5.1077692800567984</v>
      </c>
      <c r="G42" s="20">
        <f t="shared" si="1"/>
        <v>-2.9889537023396251E-2</v>
      </c>
      <c r="H42" s="21">
        <f t="shared" si="4"/>
        <v>369.53270131656774</v>
      </c>
    </row>
    <row r="43" spans="1:8" ht="15">
      <c r="A43" s="9" t="s">
        <v>25</v>
      </c>
      <c r="B43" s="28">
        <v>32379</v>
      </c>
      <c r="C43" s="40">
        <f>(B43/B46)*100</f>
        <v>7.4892965441310828</v>
      </c>
      <c r="D43" s="64">
        <f t="shared" si="5"/>
        <v>11300371.595044192</v>
      </c>
      <c r="E43" s="21">
        <f t="shared" si="6"/>
        <v>11965099.335929144</v>
      </c>
      <c r="F43" s="43">
        <f t="shared" si="3"/>
        <v>7.4457258022221788</v>
      </c>
      <c r="G43" s="20">
        <f t="shared" si="1"/>
        <v>-4.3570741908903976E-2</v>
      </c>
      <c r="H43" s="21">
        <f t="shared" si="4"/>
        <v>369.53270131656768</v>
      </c>
    </row>
    <row r="44" spans="1:8" ht="15">
      <c r="A44" s="9" t="s">
        <v>26</v>
      </c>
      <c r="B44" s="28">
        <v>24594</v>
      </c>
      <c r="C44" s="40">
        <f>(B44/B46)*100</f>
        <v>5.6886179068643212</v>
      </c>
      <c r="D44" s="64">
        <f t="shared" si="5"/>
        <v>8583382.4086141288</v>
      </c>
      <c r="E44" s="21">
        <f t="shared" si="6"/>
        <v>9088287.2561796661</v>
      </c>
      <c r="F44" s="43">
        <f t="shared" si="3"/>
        <v>5.6555230359137809</v>
      </c>
      <c r="G44" s="20">
        <f t="shared" si="1"/>
        <v>-3.3094870950540312E-2</v>
      </c>
      <c r="H44" s="21">
        <f t="shared" si="4"/>
        <v>369.53270131656768</v>
      </c>
    </row>
    <row r="45" spans="1:8" ht="15">
      <c r="A45" s="29" t="s">
        <v>52</v>
      </c>
      <c r="B45" s="30">
        <v>69282</v>
      </c>
      <c r="C45" s="41">
        <f>(B45/B46)*100</f>
        <v>16.024999016970558</v>
      </c>
      <c r="D45" s="65">
        <f>B26</f>
        <v>15000000</v>
      </c>
      <c r="E45" s="32">
        <f>C26</f>
        <v>33750000</v>
      </c>
      <c r="F45" s="44">
        <f t="shared" si="3"/>
        <v>21.002186339599202</v>
      </c>
      <c r="G45" s="31">
        <f t="shared" si="1"/>
        <v>4.9771873226286445</v>
      </c>
      <c r="H45" s="32">
        <f t="shared" si="4"/>
        <v>487.13951675759938</v>
      </c>
    </row>
    <row r="46" spans="1:8" ht="15">
      <c r="A46" s="22" t="s">
        <v>27</v>
      </c>
      <c r="B46" s="33">
        <v>432337</v>
      </c>
      <c r="C46" s="34">
        <f>SUM(C32:C45)</f>
        <v>99.999999999999986</v>
      </c>
      <c r="D46" s="62"/>
      <c r="E46" s="35"/>
      <c r="F46" s="35"/>
      <c r="G46" s="35"/>
      <c r="H46" s="35"/>
    </row>
    <row r="50" spans="4:4">
      <c r="D50" s="87"/>
    </row>
  </sheetData>
  <mergeCells count="4">
    <mergeCell ref="B30:H30"/>
    <mergeCell ref="B8:H8"/>
    <mergeCell ref="E26:F28"/>
    <mergeCell ref="E3:F5"/>
  </mergeCells>
  <pageMargins left="0.7" right="0.7" top="0.78740157499999996" bottom="0.78740157499999996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workbookViewId="0"/>
  </sheetViews>
  <sheetFormatPr defaultRowHeight="12.75"/>
  <cols>
    <col min="1" max="1" width="38.140625" customWidth="1"/>
    <col min="2" max="2" width="37.42578125" customWidth="1"/>
    <col min="3" max="3" width="18.140625" customWidth="1"/>
  </cols>
  <sheetData>
    <row r="1" spans="1:3" ht="18.75">
      <c r="A1" s="1" t="s">
        <v>53</v>
      </c>
    </row>
    <row r="2" spans="1:3" ht="18.75">
      <c r="A2" s="1"/>
      <c r="B2" s="66" t="s">
        <v>1</v>
      </c>
      <c r="C2" s="66" t="s">
        <v>2</v>
      </c>
    </row>
    <row r="3" spans="1:3">
      <c r="A3" s="67" t="s">
        <v>3</v>
      </c>
      <c r="B3" s="68">
        <f>B8+B9+B10+B11+B12</f>
        <v>1328460000</v>
      </c>
      <c r="C3" s="68">
        <f>C8+C9+C10+C11+C12</f>
        <v>1613130000</v>
      </c>
    </row>
    <row r="4" spans="1:3">
      <c r="A4" s="67" t="s">
        <v>6</v>
      </c>
      <c r="B4" s="68">
        <f>B13+B14+B16+B15+B17+B18+B19+B20</f>
        <v>2227469370</v>
      </c>
      <c r="C4" s="68">
        <f>C13+C14+C15+C16+C17+C18+C19+C20</f>
        <v>2227469370</v>
      </c>
    </row>
    <row r="7" spans="1:3">
      <c r="A7" s="96" t="s">
        <v>54</v>
      </c>
      <c r="B7" s="103" t="s">
        <v>55</v>
      </c>
      <c r="C7" s="98" t="s">
        <v>56</v>
      </c>
    </row>
    <row r="8" spans="1:3">
      <c r="A8" s="101" t="s">
        <v>14</v>
      </c>
      <c r="B8" s="104">
        <v>61740000</v>
      </c>
      <c r="C8" s="102">
        <f>B8+(B8/70*15)</f>
        <v>74970000</v>
      </c>
    </row>
    <row r="9" spans="1:3">
      <c r="A9" s="101" t="s">
        <v>15</v>
      </c>
      <c r="B9" s="104">
        <v>385560000</v>
      </c>
      <c r="C9" s="102">
        <f t="shared" ref="C9" si="0">B9+(B9/70*15)</f>
        <v>468180000</v>
      </c>
    </row>
    <row r="10" spans="1:3">
      <c r="A10" s="101" t="s">
        <v>16</v>
      </c>
      <c r="B10" s="104">
        <v>411180000</v>
      </c>
      <c r="C10" s="102">
        <f>B10+(B10/70*15)</f>
        <v>499290000</v>
      </c>
    </row>
    <row r="11" spans="1:3">
      <c r="A11" s="101" t="s">
        <v>17</v>
      </c>
      <c r="B11" s="104">
        <v>222180000</v>
      </c>
      <c r="C11" s="102">
        <f>B11+(B11/70*15)</f>
        <v>269790000</v>
      </c>
    </row>
    <row r="12" spans="1:3">
      <c r="A12" s="101" t="s">
        <v>18</v>
      </c>
      <c r="B12" s="104">
        <v>247800000</v>
      </c>
      <c r="C12" s="102">
        <f>B12+(B12/70*15)</f>
        <v>300900000</v>
      </c>
    </row>
    <row r="13" spans="1:3">
      <c r="A13" s="97" t="s">
        <v>19</v>
      </c>
      <c r="B13" s="105">
        <v>56100000</v>
      </c>
      <c r="C13" s="100">
        <f>B13</f>
        <v>56100000</v>
      </c>
    </row>
    <row r="14" spans="1:3">
      <c r="A14" s="97" t="s">
        <v>20</v>
      </c>
      <c r="B14" s="105">
        <v>473280000</v>
      </c>
      <c r="C14" s="100">
        <f>B14</f>
        <v>473280000</v>
      </c>
    </row>
    <row r="15" spans="1:3">
      <c r="A15" s="97" t="s">
        <v>21</v>
      </c>
      <c r="B15" s="105">
        <v>214200000</v>
      </c>
      <c r="C15" s="100">
        <f>B15</f>
        <v>214200000</v>
      </c>
    </row>
    <row r="16" spans="1:3">
      <c r="A16" s="97" t="s">
        <v>22</v>
      </c>
      <c r="B16" s="105">
        <v>258060000</v>
      </c>
      <c r="C16" s="100">
        <f>B16</f>
        <v>258060000</v>
      </c>
    </row>
    <row r="17" spans="1:3">
      <c r="A17" s="97" t="s">
        <v>23</v>
      </c>
      <c r="B17" s="105">
        <v>448800000</v>
      </c>
      <c r="C17" s="100">
        <f>B17</f>
        <v>448800000</v>
      </c>
    </row>
    <row r="18" spans="1:3">
      <c r="A18" s="97" t="s">
        <v>24</v>
      </c>
      <c r="B18" s="105">
        <v>224400000</v>
      </c>
      <c r="C18" s="100">
        <f>B18</f>
        <v>224400000</v>
      </c>
    </row>
    <row r="19" spans="1:3">
      <c r="A19" s="97" t="s">
        <v>25</v>
      </c>
      <c r="B19" s="105">
        <v>88019370</v>
      </c>
      <c r="C19" s="100">
        <f>B19</f>
        <v>88019370</v>
      </c>
    </row>
    <row r="20" spans="1:3">
      <c r="A20" s="97" t="s">
        <v>26</v>
      </c>
      <c r="B20" s="105">
        <v>464610000</v>
      </c>
      <c r="C20" s="100">
        <f>B20</f>
        <v>464610000</v>
      </c>
    </row>
    <row r="21" spans="1:3" ht="15.75" customHeight="1">
      <c r="A21" s="96" t="s">
        <v>57</v>
      </c>
      <c r="B21" s="106">
        <f>SUM(B8:B20)</f>
        <v>3555929370</v>
      </c>
      <c r="C21" s="99">
        <f>SUM(C8:C20)</f>
        <v>3840599370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8"/>
  <sheetViews>
    <sheetView zoomScaleNormal="100" workbookViewId="0"/>
  </sheetViews>
  <sheetFormatPr defaultRowHeight="12.75"/>
  <cols>
    <col min="2" max="2" width="19.28515625" customWidth="1"/>
    <col min="3" max="3" width="14.85546875" customWidth="1"/>
    <col min="4" max="4" width="20.7109375" customWidth="1"/>
    <col min="5" max="5" width="11.42578125" customWidth="1"/>
    <col min="6" max="6" width="15.140625" customWidth="1"/>
    <col min="7" max="7" width="15" customWidth="1"/>
    <col min="8" max="8" width="14.5703125" customWidth="1"/>
    <col min="9" max="9" width="20.28515625" customWidth="1"/>
  </cols>
  <sheetData>
    <row r="1" spans="1:9" ht="60">
      <c r="A1" s="76"/>
      <c r="B1" s="110" t="s">
        <v>58</v>
      </c>
      <c r="C1" s="110" t="s">
        <v>59</v>
      </c>
      <c r="D1" s="110" t="s">
        <v>60</v>
      </c>
      <c r="E1" s="110" t="s">
        <v>61</v>
      </c>
      <c r="F1" s="110" t="s">
        <v>62</v>
      </c>
      <c r="G1" s="110" t="s">
        <v>59</v>
      </c>
      <c r="H1" s="110" t="s">
        <v>63</v>
      </c>
    </row>
    <row r="2" spans="1:9" ht="15">
      <c r="A2" s="111">
        <v>2021</v>
      </c>
      <c r="B2" s="112">
        <v>0</v>
      </c>
      <c r="C2" s="75">
        <v>2021</v>
      </c>
      <c r="D2" s="113">
        <v>0</v>
      </c>
      <c r="E2" s="111">
        <v>2021</v>
      </c>
      <c r="F2" s="112">
        <v>0</v>
      </c>
      <c r="G2" s="114">
        <v>2021</v>
      </c>
      <c r="H2" s="113">
        <v>0</v>
      </c>
    </row>
    <row r="3" spans="1:9" ht="15">
      <c r="A3" s="111">
        <v>2022</v>
      </c>
      <c r="B3" s="115">
        <v>0.17080000000000001</v>
      </c>
      <c r="C3" s="78" t="s">
        <v>64</v>
      </c>
      <c r="D3" s="116">
        <v>0.17080000000000001</v>
      </c>
      <c r="E3" s="111">
        <v>2022</v>
      </c>
      <c r="F3" s="112">
        <v>0</v>
      </c>
      <c r="G3" s="78" t="s">
        <v>64</v>
      </c>
      <c r="H3" s="113">
        <v>0</v>
      </c>
    </row>
    <row r="4" spans="1:9" ht="15">
      <c r="A4" s="111">
        <v>2023</v>
      </c>
      <c r="B4" s="117">
        <v>0.1736</v>
      </c>
      <c r="C4" s="78" t="s">
        <v>65</v>
      </c>
      <c r="D4" s="118">
        <v>0.34439999999999998</v>
      </c>
      <c r="E4" s="111">
        <v>2023</v>
      </c>
      <c r="F4" s="112">
        <v>0</v>
      </c>
      <c r="G4" s="78" t="s">
        <v>65</v>
      </c>
      <c r="H4" s="113">
        <v>0</v>
      </c>
    </row>
    <row r="5" spans="1:9" ht="15">
      <c r="A5" s="111">
        <v>2024</v>
      </c>
      <c r="B5" s="117">
        <v>0.1764</v>
      </c>
      <c r="C5" s="78" t="s">
        <v>66</v>
      </c>
      <c r="D5" s="118">
        <v>0.52080000000000004</v>
      </c>
      <c r="E5" s="111">
        <v>2024</v>
      </c>
      <c r="F5" s="112">
        <v>0</v>
      </c>
      <c r="G5" s="78" t="s">
        <v>66</v>
      </c>
      <c r="H5" s="113">
        <v>0</v>
      </c>
    </row>
    <row r="6" spans="1:9" ht="15">
      <c r="A6" s="111">
        <v>2025</v>
      </c>
      <c r="B6" s="117">
        <v>0.1792</v>
      </c>
      <c r="C6" s="79" t="s">
        <v>67</v>
      </c>
      <c r="D6" s="118">
        <v>0.7</v>
      </c>
      <c r="E6" s="111">
        <v>2025</v>
      </c>
      <c r="F6" s="115">
        <v>0.17080000000000001</v>
      </c>
      <c r="G6" s="79" t="s">
        <v>67</v>
      </c>
      <c r="H6" s="118">
        <v>0.17080000000000001</v>
      </c>
    </row>
    <row r="7" spans="1:9" ht="15">
      <c r="A7" s="111">
        <v>2026</v>
      </c>
      <c r="B7" s="117">
        <v>0.14849999999999999</v>
      </c>
      <c r="C7" s="78" t="s">
        <v>68</v>
      </c>
      <c r="D7" s="118">
        <v>0.84850000000000003</v>
      </c>
      <c r="E7" s="111">
        <v>2026</v>
      </c>
      <c r="F7" s="117">
        <v>0.1736</v>
      </c>
      <c r="G7" s="78" t="s">
        <v>68</v>
      </c>
      <c r="H7" s="118">
        <v>0.34439999999999998</v>
      </c>
    </row>
    <row r="8" spans="1:9" ht="15">
      <c r="A8" s="111">
        <v>2027</v>
      </c>
      <c r="B8" s="117">
        <v>0.1515</v>
      </c>
      <c r="C8" s="78" t="s">
        <v>69</v>
      </c>
      <c r="D8" s="118">
        <v>1</v>
      </c>
      <c r="E8" s="111">
        <v>2027</v>
      </c>
      <c r="F8" s="117">
        <v>0.1764</v>
      </c>
      <c r="G8" s="78" t="s">
        <v>69</v>
      </c>
      <c r="H8" s="118">
        <v>0.52080000000000004</v>
      </c>
    </row>
    <row r="9" spans="1:9" ht="15">
      <c r="A9" s="111">
        <v>2028</v>
      </c>
      <c r="B9" s="112">
        <v>0</v>
      </c>
      <c r="C9" s="78" t="s">
        <v>70</v>
      </c>
      <c r="D9" s="113">
        <v>0</v>
      </c>
      <c r="E9" s="111">
        <v>2028</v>
      </c>
      <c r="F9" s="117">
        <v>0.1792</v>
      </c>
      <c r="G9" s="78" t="s">
        <v>70</v>
      </c>
      <c r="H9" s="118">
        <v>0.7</v>
      </c>
    </row>
    <row r="10" spans="1:9" ht="15">
      <c r="A10" s="111">
        <v>2029</v>
      </c>
      <c r="B10" s="112">
        <v>0</v>
      </c>
      <c r="C10" s="78" t="s">
        <v>71</v>
      </c>
      <c r="D10" s="113">
        <v>0</v>
      </c>
      <c r="E10" s="111">
        <v>2029</v>
      </c>
      <c r="F10" s="117">
        <v>0.3</v>
      </c>
      <c r="G10" s="78" t="s">
        <v>71</v>
      </c>
      <c r="H10" s="118">
        <v>1</v>
      </c>
    </row>
    <row r="11" spans="1:9" ht="15">
      <c r="A11" s="111"/>
      <c r="B11" s="112"/>
      <c r="C11" s="78"/>
      <c r="D11" s="113"/>
      <c r="E11" s="111"/>
      <c r="F11" s="117"/>
      <c r="G11" s="78"/>
      <c r="H11" s="118"/>
    </row>
    <row r="12" spans="1:9">
      <c r="A12" s="149" t="s">
        <v>72</v>
      </c>
      <c r="B12" s="150"/>
      <c r="C12" s="150"/>
      <c r="D12" s="150"/>
      <c r="E12" s="150"/>
      <c r="F12" s="150"/>
      <c r="G12" s="150"/>
      <c r="H12" s="150"/>
      <c r="I12" s="132">
        <f>'Klíč silnice_final'!B5</f>
        <v>10166689759</v>
      </c>
    </row>
    <row r="13" spans="1:9" ht="60">
      <c r="A13" s="119" t="s">
        <v>61</v>
      </c>
      <c r="B13" s="110" t="s">
        <v>73</v>
      </c>
      <c r="C13" s="110" t="s">
        <v>59</v>
      </c>
      <c r="D13" s="110" t="s">
        <v>74</v>
      </c>
      <c r="E13" s="110" t="s">
        <v>61</v>
      </c>
      <c r="F13" s="110" t="s">
        <v>75</v>
      </c>
      <c r="G13" s="110" t="s">
        <v>59</v>
      </c>
      <c r="H13" s="110" t="s">
        <v>76</v>
      </c>
    </row>
    <row r="14" spans="1:9" ht="15">
      <c r="A14" s="81">
        <v>2021</v>
      </c>
      <c r="B14" s="74">
        <v>0</v>
      </c>
      <c r="C14" s="75">
        <v>2021</v>
      </c>
      <c r="D14" s="82">
        <f>B14</f>
        <v>0</v>
      </c>
      <c r="E14" s="81">
        <v>2021</v>
      </c>
      <c r="F14" s="74">
        <v>0</v>
      </c>
      <c r="G14" s="114">
        <v>2021</v>
      </c>
      <c r="H14" s="76">
        <v>0</v>
      </c>
    </row>
    <row r="15" spans="1:9" ht="15">
      <c r="A15" s="81">
        <v>2022</v>
      </c>
      <c r="B15" s="77">
        <f>B3*$I$12</f>
        <v>1736470610.8372002</v>
      </c>
      <c r="C15" s="78" t="s">
        <v>64</v>
      </c>
      <c r="D15" s="84">
        <f>B15</f>
        <v>1736470610.8372002</v>
      </c>
      <c r="E15" s="81">
        <v>2022</v>
      </c>
      <c r="F15" s="74">
        <v>0</v>
      </c>
      <c r="G15" s="78" t="s">
        <v>64</v>
      </c>
      <c r="H15" s="76">
        <v>0</v>
      </c>
    </row>
    <row r="16" spans="1:9" ht="15">
      <c r="A16" s="81">
        <v>2023</v>
      </c>
      <c r="B16" s="77">
        <f t="shared" ref="B16:B22" si="0">B4*$I$12</f>
        <v>1764937342.1624</v>
      </c>
      <c r="C16" s="78" t="s">
        <v>65</v>
      </c>
      <c r="D16" s="84">
        <f>D15+B16</f>
        <v>3501407952.9996004</v>
      </c>
      <c r="E16" s="81">
        <v>2023</v>
      </c>
      <c r="F16" s="74">
        <v>0</v>
      </c>
      <c r="G16" s="78" t="s">
        <v>65</v>
      </c>
      <c r="H16" s="76">
        <v>0</v>
      </c>
    </row>
    <row r="17" spans="1:9" ht="15">
      <c r="A17" s="81">
        <v>2024</v>
      </c>
      <c r="B17" s="77">
        <f t="shared" si="0"/>
        <v>1793404073.4876001</v>
      </c>
      <c r="C17" s="78" t="s">
        <v>66</v>
      </c>
      <c r="D17" s="84">
        <f t="shared" ref="D17:D20" si="1">D16+B17</f>
        <v>5294812026.4872007</v>
      </c>
      <c r="E17" s="81">
        <v>2024</v>
      </c>
      <c r="F17" s="74">
        <v>0</v>
      </c>
      <c r="G17" s="78" t="s">
        <v>66</v>
      </c>
      <c r="H17" s="76">
        <v>0</v>
      </c>
    </row>
    <row r="18" spans="1:9" ht="15">
      <c r="A18" s="81">
        <v>2025</v>
      </c>
      <c r="B18" s="77">
        <f t="shared" si="0"/>
        <v>1821870804.8127999</v>
      </c>
      <c r="C18" s="79" t="s">
        <v>67</v>
      </c>
      <c r="D18" s="84">
        <f t="shared" si="1"/>
        <v>7116682831.3000011</v>
      </c>
      <c r="E18" s="81">
        <v>2025</v>
      </c>
      <c r="F18" s="83">
        <f>F6*$I$12</f>
        <v>1736470610.8372002</v>
      </c>
      <c r="G18" s="79" t="s">
        <v>67</v>
      </c>
      <c r="H18" s="80">
        <f>F18</f>
        <v>1736470610.8372002</v>
      </c>
    </row>
    <row r="19" spans="1:9" ht="15">
      <c r="A19" s="81">
        <v>2026</v>
      </c>
      <c r="B19" s="77">
        <f t="shared" si="0"/>
        <v>1509753429.2114999</v>
      </c>
      <c r="C19" s="78" t="s">
        <v>68</v>
      </c>
      <c r="D19" s="84">
        <f t="shared" si="1"/>
        <v>8626436260.5115013</v>
      </c>
      <c r="E19" s="81">
        <v>2026</v>
      </c>
      <c r="F19" s="83">
        <f t="shared" ref="F19:F22" si="2">F7*$I$12</f>
        <v>1764937342.1624</v>
      </c>
      <c r="G19" s="78" t="s">
        <v>68</v>
      </c>
      <c r="H19" s="80">
        <f>F19+H18</f>
        <v>3501407952.9996004</v>
      </c>
    </row>
    <row r="20" spans="1:9" ht="15">
      <c r="A20" s="81">
        <v>2027</v>
      </c>
      <c r="B20" s="77">
        <f t="shared" si="0"/>
        <v>1540253498.4884999</v>
      </c>
      <c r="C20" s="78" t="s">
        <v>69</v>
      </c>
      <c r="D20" s="84">
        <f t="shared" si="1"/>
        <v>10166689759.000002</v>
      </c>
      <c r="E20" s="81">
        <v>2027</v>
      </c>
      <c r="F20" s="83">
        <f t="shared" si="2"/>
        <v>1793404073.4876001</v>
      </c>
      <c r="G20" s="78" t="s">
        <v>69</v>
      </c>
      <c r="H20" s="80">
        <f>F20+H19</f>
        <v>5294812026.4872007</v>
      </c>
    </row>
    <row r="21" spans="1:9" ht="15">
      <c r="A21" s="81">
        <v>2028</v>
      </c>
      <c r="B21" s="77">
        <f t="shared" si="0"/>
        <v>0</v>
      </c>
      <c r="C21" s="78" t="s">
        <v>70</v>
      </c>
      <c r="D21" s="84"/>
      <c r="E21" s="81">
        <v>2028</v>
      </c>
      <c r="F21" s="83">
        <f t="shared" si="2"/>
        <v>1821870804.8127999</v>
      </c>
      <c r="G21" s="78" t="s">
        <v>70</v>
      </c>
      <c r="H21" s="80">
        <f>F21+H20</f>
        <v>7116682831.3000011</v>
      </c>
    </row>
    <row r="22" spans="1:9" ht="15">
      <c r="A22" s="81">
        <v>2029</v>
      </c>
      <c r="B22" s="77">
        <f t="shared" si="0"/>
        <v>0</v>
      </c>
      <c r="C22" s="78" t="s">
        <v>71</v>
      </c>
      <c r="D22" s="84"/>
      <c r="E22" s="81">
        <v>2029</v>
      </c>
      <c r="F22" s="83">
        <f t="shared" si="2"/>
        <v>3050006927.6999998</v>
      </c>
      <c r="G22" s="78" t="s">
        <v>71</v>
      </c>
      <c r="H22" s="80">
        <f>F22+H21</f>
        <v>10166689759</v>
      </c>
    </row>
    <row r="23" spans="1:9">
      <c r="A23" s="76"/>
      <c r="B23" s="76"/>
      <c r="C23" s="76"/>
      <c r="D23" s="76"/>
      <c r="E23" s="76"/>
      <c r="F23" s="76"/>
      <c r="G23" s="76"/>
      <c r="H23" s="76"/>
    </row>
    <row r="24" spans="1:9">
      <c r="A24" s="149" t="s">
        <v>77</v>
      </c>
      <c r="B24" s="150"/>
      <c r="C24" s="150"/>
      <c r="D24" s="150"/>
      <c r="E24" s="150"/>
      <c r="F24" s="150"/>
      <c r="G24" s="150"/>
      <c r="H24" s="150"/>
      <c r="I24" s="132">
        <f>'Klíč ZZS_final'!B6</f>
        <v>1866661085</v>
      </c>
    </row>
    <row r="25" spans="1:9" ht="60">
      <c r="A25" s="119" t="s">
        <v>61</v>
      </c>
      <c r="B25" s="110" t="s">
        <v>73</v>
      </c>
      <c r="C25" s="110" t="s">
        <v>59</v>
      </c>
      <c r="D25" s="110" t="s">
        <v>74</v>
      </c>
      <c r="E25" s="110" t="s">
        <v>61</v>
      </c>
      <c r="F25" s="110" t="s">
        <v>75</v>
      </c>
      <c r="G25" s="110" t="s">
        <v>59</v>
      </c>
      <c r="H25" s="110" t="s">
        <v>76</v>
      </c>
    </row>
    <row r="26" spans="1:9" ht="15">
      <c r="A26" s="120">
        <v>2021</v>
      </c>
      <c r="B26" s="121">
        <v>0</v>
      </c>
      <c r="C26" s="122">
        <v>2021</v>
      </c>
      <c r="D26" s="123">
        <f>B26</f>
        <v>0</v>
      </c>
      <c r="E26" s="120">
        <v>2021</v>
      </c>
      <c r="F26" s="121">
        <v>0</v>
      </c>
      <c r="G26" s="124">
        <v>2021</v>
      </c>
      <c r="H26" s="125">
        <v>0</v>
      </c>
    </row>
    <row r="27" spans="1:9" ht="15">
      <c r="A27" s="120">
        <v>2022</v>
      </c>
      <c r="B27" s="126">
        <f>B3*$I$24</f>
        <v>318825713.31800002</v>
      </c>
      <c r="C27" s="127" t="s">
        <v>64</v>
      </c>
      <c r="D27" s="128">
        <f>B27</f>
        <v>318825713.31800002</v>
      </c>
      <c r="E27" s="120">
        <v>2022</v>
      </c>
      <c r="F27" s="121">
        <v>0</v>
      </c>
      <c r="G27" s="127" t="s">
        <v>64</v>
      </c>
      <c r="H27" s="125">
        <v>0</v>
      </c>
    </row>
    <row r="28" spans="1:9" ht="15">
      <c r="A28" s="120">
        <v>2023</v>
      </c>
      <c r="B28" s="126">
        <f t="shared" ref="B28:B32" si="3">B4*$I$24</f>
        <v>324052364.35600001</v>
      </c>
      <c r="C28" s="127" t="s">
        <v>65</v>
      </c>
      <c r="D28" s="128">
        <f>D27+B28</f>
        <v>642878077.67400002</v>
      </c>
      <c r="E28" s="120">
        <v>2023</v>
      </c>
      <c r="F28" s="121">
        <v>0</v>
      </c>
      <c r="G28" s="127" t="s">
        <v>65</v>
      </c>
      <c r="H28" s="125">
        <v>0</v>
      </c>
    </row>
    <row r="29" spans="1:9" ht="15">
      <c r="A29" s="120">
        <v>2024</v>
      </c>
      <c r="B29" s="126">
        <f t="shared" si="3"/>
        <v>329279015.39399999</v>
      </c>
      <c r="C29" s="127" t="s">
        <v>66</v>
      </c>
      <c r="D29" s="128">
        <f t="shared" ref="D29:D32" si="4">D28+B29</f>
        <v>972157093.06800008</v>
      </c>
      <c r="E29" s="120">
        <v>2024</v>
      </c>
      <c r="F29" s="121">
        <v>0</v>
      </c>
      <c r="G29" s="127" t="s">
        <v>66</v>
      </c>
      <c r="H29" s="125">
        <v>0</v>
      </c>
    </row>
    <row r="30" spans="1:9" ht="15">
      <c r="A30" s="120">
        <v>2025</v>
      </c>
      <c r="B30" s="126">
        <f t="shared" si="3"/>
        <v>334505666.43199998</v>
      </c>
      <c r="C30" s="129" t="s">
        <v>67</v>
      </c>
      <c r="D30" s="128">
        <f t="shared" si="4"/>
        <v>1306662759.5</v>
      </c>
      <c r="E30" s="120">
        <v>2025</v>
      </c>
      <c r="F30" s="130">
        <f>F6*$I$24</f>
        <v>318825713.31800002</v>
      </c>
      <c r="G30" s="129" t="s">
        <v>67</v>
      </c>
      <c r="H30" s="131">
        <f>F30</f>
        <v>318825713.31800002</v>
      </c>
    </row>
    <row r="31" spans="1:9" ht="15">
      <c r="A31" s="120">
        <v>2026</v>
      </c>
      <c r="B31" s="126">
        <f t="shared" si="3"/>
        <v>277199171.1225</v>
      </c>
      <c r="C31" s="127" t="s">
        <v>68</v>
      </c>
      <c r="D31" s="128">
        <f t="shared" si="4"/>
        <v>1583861930.6224999</v>
      </c>
      <c r="E31" s="120">
        <v>2026</v>
      </c>
      <c r="F31" s="130">
        <f t="shared" ref="F31:F34" si="5">F7*$I$24</f>
        <v>324052364.35600001</v>
      </c>
      <c r="G31" s="127" t="s">
        <v>68</v>
      </c>
      <c r="H31" s="131">
        <f>F31+H30</f>
        <v>642878077.67400002</v>
      </c>
    </row>
    <row r="32" spans="1:9" ht="15">
      <c r="A32" s="120">
        <v>2027</v>
      </c>
      <c r="B32" s="126">
        <f t="shared" si="3"/>
        <v>282799154.3775</v>
      </c>
      <c r="C32" s="127" t="s">
        <v>69</v>
      </c>
      <c r="D32" s="128">
        <f t="shared" si="4"/>
        <v>1866661085</v>
      </c>
      <c r="E32" s="120">
        <v>2027</v>
      </c>
      <c r="F32" s="130">
        <f t="shared" si="5"/>
        <v>329279015.39399999</v>
      </c>
      <c r="G32" s="127" t="s">
        <v>69</v>
      </c>
      <c r="H32" s="131">
        <f>F32+H31</f>
        <v>972157093.06800008</v>
      </c>
    </row>
    <row r="33" spans="1:9" ht="15">
      <c r="A33" s="120">
        <v>2028</v>
      </c>
      <c r="B33" s="126">
        <f t="shared" ref="B33:B34" si="6">B21*$I$12</f>
        <v>0</v>
      </c>
      <c r="C33" s="127" t="s">
        <v>70</v>
      </c>
      <c r="D33" s="128"/>
      <c r="E33" s="120">
        <v>2028</v>
      </c>
      <c r="F33" s="130">
        <f t="shared" si="5"/>
        <v>334505666.43199998</v>
      </c>
      <c r="G33" s="127" t="s">
        <v>70</v>
      </c>
      <c r="H33" s="131">
        <f>F33+H32</f>
        <v>1306662759.5</v>
      </c>
    </row>
    <row r="34" spans="1:9" ht="15">
      <c r="A34" s="120">
        <v>2029</v>
      </c>
      <c r="B34" s="126">
        <f t="shared" si="6"/>
        <v>0</v>
      </c>
      <c r="C34" s="127" t="s">
        <v>71</v>
      </c>
      <c r="D34" s="128"/>
      <c r="E34" s="120">
        <v>2029</v>
      </c>
      <c r="F34" s="130">
        <f t="shared" si="5"/>
        <v>559998325.5</v>
      </c>
      <c r="G34" s="127" t="s">
        <v>71</v>
      </c>
      <c r="H34" s="131">
        <f>F34+H33</f>
        <v>1866661085</v>
      </c>
    </row>
    <row r="35" spans="1:9">
      <c r="A35" s="149" t="s">
        <v>78</v>
      </c>
      <c r="B35" s="150"/>
      <c r="C35" s="150"/>
      <c r="D35" s="150"/>
      <c r="E35" s="150"/>
      <c r="F35" s="150"/>
      <c r="G35" s="150"/>
      <c r="H35" s="150"/>
      <c r="I35" s="132">
        <f>'Klíč SŠ'!B6</f>
        <v>3095550876</v>
      </c>
    </row>
    <row r="36" spans="1:9" ht="60">
      <c r="A36" s="119" t="s">
        <v>61</v>
      </c>
      <c r="B36" s="110" t="s">
        <v>73</v>
      </c>
      <c r="C36" s="110" t="s">
        <v>59</v>
      </c>
      <c r="D36" s="110" t="s">
        <v>74</v>
      </c>
      <c r="E36" s="110" t="s">
        <v>61</v>
      </c>
      <c r="F36" s="110" t="s">
        <v>75</v>
      </c>
      <c r="G36" s="110" t="s">
        <v>59</v>
      </c>
      <c r="H36" s="110" t="s">
        <v>76</v>
      </c>
    </row>
    <row r="37" spans="1:9" ht="15">
      <c r="A37" s="81">
        <v>2021</v>
      </c>
      <c r="B37" s="74">
        <v>0</v>
      </c>
      <c r="C37" s="75">
        <v>2021</v>
      </c>
      <c r="D37" s="82">
        <f>B37</f>
        <v>0</v>
      </c>
      <c r="E37" s="81">
        <v>2021</v>
      </c>
      <c r="F37" s="74">
        <v>0</v>
      </c>
      <c r="G37" s="114">
        <v>2021</v>
      </c>
      <c r="H37" s="76">
        <v>0</v>
      </c>
    </row>
    <row r="38" spans="1:9" ht="15">
      <c r="A38" s="81">
        <v>2022</v>
      </c>
      <c r="B38" s="77">
        <f>B3*$I$35</f>
        <v>528720089.62080002</v>
      </c>
      <c r="C38" s="78" t="s">
        <v>64</v>
      </c>
      <c r="D38" s="84">
        <f>B38</f>
        <v>528720089.62080002</v>
      </c>
      <c r="E38" s="81">
        <v>2022</v>
      </c>
      <c r="F38" s="74">
        <v>0</v>
      </c>
      <c r="G38" s="78" t="s">
        <v>64</v>
      </c>
      <c r="H38" s="76">
        <v>0</v>
      </c>
    </row>
    <row r="39" spans="1:9" ht="15">
      <c r="A39" s="81">
        <v>2023</v>
      </c>
      <c r="B39" s="77">
        <f>B4*$I$35</f>
        <v>537387632.07360005</v>
      </c>
      <c r="C39" s="78" t="s">
        <v>65</v>
      </c>
      <c r="D39" s="84">
        <f>D38+B39</f>
        <v>1066107721.6944001</v>
      </c>
      <c r="E39" s="81">
        <v>2023</v>
      </c>
      <c r="F39" s="74">
        <v>0</v>
      </c>
      <c r="G39" s="78" t="s">
        <v>65</v>
      </c>
      <c r="H39" s="76">
        <v>0</v>
      </c>
    </row>
    <row r="40" spans="1:9" ht="15">
      <c r="A40" s="81">
        <v>2024</v>
      </c>
      <c r="B40" s="77">
        <f>B5*$I$35</f>
        <v>546055174.52639997</v>
      </c>
      <c r="C40" s="78" t="s">
        <v>66</v>
      </c>
      <c r="D40" s="84">
        <f t="shared" ref="D40:D43" si="7">D39+B40</f>
        <v>1612162896.2207999</v>
      </c>
      <c r="E40" s="81">
        <v>2024</v>
      </c>
      <c r="F40" s="74">
        <v>0</v>
      </c>
      <c r="G40" s="78" t="s">
        <v>66</v>
      </c>
      <c r="H40" s="76">
        <v>0</v>
      </c>
    </row>
    <row r="41" spans="1:9" ht="15">
      <c r="A41" s="81">
        <v>2025</v>
      </c>
      <c r="B41" s="77">
        <f>B6*$I$35</f>
        <v>554722716.97920001</v>
      </c>
      <c r="C41" s="79" t="s">
        <v>67</v>
      </c>
      <c r="D41" s="84">
        <f t="shared" si="7"/>
        <v>2166885613.1999998</v>
      </c>
      <c r="E41" s="81">
        <v>2025</v>
      </c>
      <c r="F41" s="83">
        <f>F6*$I$35</f>
        <v>528720089.62080002</v>
      </c>
      <c r="G41" s="79" t="s">
        <v>67</v>
      </c>
      <c r="H41" s="80">
        <f>F41</f>
        <v>528720089.62080002</v>
      </c>
    </row>
    <row r="42" spans="1:9" ht="15">
      <c r="A42" s="81">
        <v>2026</v>
      </c>
      <c r="B42" s="77">
        <f>B7*$I$35</f>
        <v>459689305.08599997</v>
      </c>
      <c r="C42" s="78" t="s">
        <v>68</v>
      </c>
      <c r="D42" s="84">
        <f t="shared" si="7"/>
        <v>2626574918.2859998</v>
      </c>
      <c r="E42" s="81">
        <v>2026</v>
      </c>
      <c r="F42" s="83">
        <f>F7*$I$35</f>
        <v>537387632.07360005</v>
      </c>
      <c r="G42" s="78" t="s">
        <v>68</v>
      </c>
      <c r="H42" s="80">
        <f>F42+H41</f>
        <v>1066107721.6944001</v>
      </c>
    </row>
    <row r="43" spans="1:9" ht="15">
      <c r="A43" s="81">
        <v>2027</v>
      </c>
      <c r="B43" s="77">
        <f>B8*$I$35</f>
        <v>468975957.71399999</v>
      </c>
      <c r="C43" s="78" t="s">
        <v>69</v>
      </c>
      <c r="D43" s="84">
        <f t="shared" si="7"/>
        <v>3095550876</v>
      </c>
      <c r="E43" s="81">
        <v>2027</v>
      </c>
      <c r="F43" s="83">
        <f>F8*$I$35</f>
        <v>546055174.52639997</v>
      </c>
      <c r="G43" s="78" t="s">
        <v>69</v>
      </c>
      <c r="H43" s="80">
        <f>F43+H42</f>
        <v>1612162896.2207999</v>
      </c>
    </row>
    <row r="44" spans="1:9" ht="15">
      <c r="A44" s="81">
        <v>2028</v>
      </c>
      <c r="B44" s="77">
        <f>B33*$I$12</f>
        <v>0</v>
      </c>
      <c r="C44" s="78" t="s">
        <v>70</v>
      </c>
      <c r="D44" s="84"/>
      <c r="E44" s="81">
        <v>2028</v>
      </c>
      <c r="F44" s="83">
        <f>F9*$I$35</f>
        <v>554722716.97920001</v>
      </c>
      <c r="G44" s="78" t="s">
        <v>70</v>
      </c>
      <c r="H44" s="80">
        <f>F44+H43</f>
        <v>2166885613.1999998</v>
      </c>
    </row>
    <row r="45" spans="1:9" ht="15">
      <c r="A45" s="81">
        <v>2029</v>
      </c>
      <c r="B45" s="77">
        <f>B34*$I$12</f>
        <v>0</v>
      </c>
      <c r="C45" s="78" t="s">
        <v>71</v>
      </c>
      <c r="D45" s="84"/>
      <c r="E45" s="81">
        <v>2029</v>
      </c>
      <c r="F45" s="83">
        <f>F10*$I$35</f>
        <v>928665262.79999995</v>
      </c>
      <c r="G45" s="78" t="s">
        <v>71</v>
      </c>
      <c r="H45" s="80">
        <f>F45+H44</f>
        <v>3095550876</v>
      </c>
    </row>
    <row r="46" spans="1:9">
      <c r="A46" s="76"/>
      <c r="B46" s="76"/>
      <c r="C46" s="76"/>
      <c r="D46" s="76"/>
      <c r="E46" s="76"/>
      <c r="F46" s="76"/>
      <c r="G46" s="76"/>
      <c r="H46" s="76"/>
    </row>
    <row r="47" spans="1:9">
      <c r="A47" s="149" t="s">
        <v>79</v>
      </c>
      <c r="B47" s="150"/>
      <c r="C47" s="150"/>
      <c r="D47" s="150"/>
      <c r="E47" s="150"/>
      <c r="F47" s="150"/>
      <c r="G47" s="150"/>
      <c r="H47" s="150"/>
      <c r="I47" s="132">
        <v>3555929370</v>
      </c>
    </row>
    <row r="48" spans="1:9" ht="60">
      <c r="A48" s="119" t="s">
        <v>61</v>
      </c>
      <c r="B48" s="110" t="s">
        <v>73</v>
      </c>
      <c r="C48" s="110" t="s">
        <v>59</v>
      </c>
      <c r="D48" s="110" t="s">
        <v>74</v>
      </c>
      <c r="E48" s="110" t="s">
        <v>61</v>
      </c>
      <c r="F48" s="110" t="s">
        <v>75</v>
      </c>
      <c r="G48" s="110" t="s">
        <v>59</v>
      </c>
      <c r="H48" s="110" t="s">
        <v>76</v>
      </c>
    </row>
    <row r="49" spans="1:9" ht="15">
      <c r="A49" s="81">
        <v>2021</v>
      </c>
      <c r="B49" s="74">
        <v>0</v>
      </c>
      <c r="C49" s="75">
        <v>2021</v>
      </c>
      <c r="D49" s="82">
        <f>B49</f>
        <v>0</v>
      </c>
      <c r="E49" s="81">
        <v>2021</v>
      </c>
      <c r="F49" s="74">
        <v>0</v>
      </c>
      <c r="G49" s="114">
        <v>2021</v>
      </c>
      <c r="H49" s="76">
        <v>0</v>
      </c>
    </row>
    <row r="50" spans="1:9" ht="15">
      <c r="A50" s="81">
        <v>2022</v>
      </c>
      <c r="B50" s="77">
        <f>B3*$I$47</f>
        <v>607352736.39600003</v>
      </c>
      <c r="C50" s="78" t="s">
        <v>64</v>
      </c>
      <c r="D50" s="84">
        <f>B50</f>
        <v>607352736.39600003</v>
      </c>
      <c r="E50" s="81">
        <v>2022</v>
      </c>
      <c r="F50" s="74">
        <v>0</v>
      </c>
      <c r="G50" s="78" t="s">
        <v>64</v>
      </c>
      <c r="H50" s="76">
        <v>0</v>
      </c>
    </row>
    <row r="51" spans="1:9" ht="15">
      <c r="A51" s="81">
        <v>2023</v>
      </c>
      <c r="B51" s="77">
        <f>B4*$I$47</f>
        <v>617309338.63199997</v>
      </c>
      <c r="C51" s="78" t="s">
        <v>65</v>
      </c>
      <c r="D51" s="84">
        <f>D50+B51</f>
        <v>1224662075.0279999</v>
      </c>
      <c r="E51" s="81">
        <v>2023</v>
      </c>
      <c r="F51" s="74">
        <v>0</v>
      </c>
      <c r="G51" s="78" t="s">
        <v>65</v>
      </c>
      <c r="H51" s="76">
        <v>0</v>
      </c>
    </row>
    <row r="52" spans="1:9" ht="15">
      <c r="A52" s="81">
        <v>2024</v>
      </c>
      <c r="B52" s="77">
        <f>B5*$I$47</f>
        <v>627265940.86800003</v>
      </c>
      <c r="C52" s="78" t="s">
        <v>66</v>
      </c>
      <c r="D52" s="84">
        <f t="shared" ref="D52:D55" si="8">D51+B52</f>
        <v>1851928015.8959999</v>
      </c>
      <c r="E52" s="81">
        <v>2024</v>
      </c>
      <c r="F52" s="74">
        <v>0</v>
      </c>
      <c r="G52" s="78" t="s">
        <v>66</v>
      </c>
      <c r="H52" s="76">
        <v>0</v>
      </c>
    </row>
    <row r="53" spans="1:9" ht="15">
      <c r="A53" s="81">
        <v>2025</v>
      </c>
      <c r="B53" s="77">
        <f>B6*$I$47</f>
        <v>637222543.10399997</v>
      </c>
      <c r="C53" s="79" t="s">
        <v>67</v>
      </c>
      <c r="D53" s="84">
        <f t="shared" si="8"/>
        <v>2489150559</v>
      </c>
      <c r="E53" s="81">
        <v>2025</v>
      </c>
      <c r="F53" s="83">
        <f>F6*$I$47</f>
        <v>607352736.39600003</v>
      </c>
      <c r="G53" s="79" t="s">
        <v>67</v>
      </c>
      <c r="H53" s="80">
        <f>F53</f>
        <v>607352736.39600003</v>
      </c>
    </row>
    <row r="54" spans="1:9" ht="15">
      <c r="A54" s="81">
        <v>2026</v>
      </c>
      <c r="B54" s="77">
        <f>B7*$I$47</f>
        <v>528055511.44499999</v>
      </c>
      <c r="C54" s="78" t="s">
        <v>68</v>
      </c>
      <c r="D54" s="84">
        <f t="shared" si="8"/>
        <v>3017206070.4450002</v>
      </c>
      <c r="E54" s="81">
        <v>2026</v>
      </c>
      <c r="F54" s="83">
        <f>F7*$I$47</f>
        <v>617309338.63199997</v>
      </c>
      <c r="G54" s="78" t="s">
        <v>68</v>
      </c>
      <c r="H54" s="80">
        <f>F54+H53</f>
        <v>1224662075.0279999</v>
      </c>
    </row>
    <row r="55" spans="1:9" ht="15">
      <c r="A55" s="81">
        <v>2027</v>
      </c>
      <c r="B55" s="77">
        <f>B8*$I$47</f>
        <v>538723299.55499995</v>
      </c>
      <c r="C55" s="78" t="s">
        <v>69</v>
      </c>
      <c r="D55" s="84">
        <f t="shared" si="8"/>
        <v>3555929370</v>
      </c>
      <c r="E55" s="81">
        <v>2027</v>
      </c>
      <c r="F55" s="83">
        <f>F8*$I$47</f>
        <v>627265940.86800003</v>
      </c>
      <c r="G55" s="78" t="s">
        <v>69</v>
      </c>
      <c r="H55" s="80">
        <f>F55+H54</f>
        <v>1851928015.8959999</v>
      </c>
    </row>
    <row r="56" spans="1:9" ht="15">
      <c r="A56" s="81">
        <v>2028</v>
      </c>
      <c r="B56" s="77">
        <f t="shared" ref="B56:B57" si="9">B44*$I$12</f>
        <v>0</v>
      </c>
      <c r="C56" s="78" t="s">
        <v>70</v>
      </c>
      <c r="D56" s="84"/>
      <c r="E56" s="81">
        <v>2028</v>
      </c>
      <c r="F56" s="83">
        <f>F9*$I$47</f>
        <v>637222543.10399997</v>
      </c>
      <c r="G56" s="78" t="s">
        <v>70</v>
      </c>
      <c r="H56" s="80">
        <f>F56+H55</f>
        <v>2489150559</v>
      </c>
    </row>
    <row r="57" spans="1:9" ht="15">
      <c r="A57" s="81">
        <v>2029</v>
      </c>
      <c r="B57" s="77">
        <f t="shared" si="9"/>
        <v>0</v>
      </c>
      <c r="C57" s="78" t="s">
        <v>71</v>
      </c>
      <c r="D57" s="84"/>
      <c r="E57" s="81">
        <v>2029</v>
      </c>
      <c r="F57" s="83">
        <f>F10*$I$47</f>
        <v>1066778811</v>
      </c>
      <c r="G57" s="78" t="s">
        <v>71</v>
      </c>
      <c r="H57" s="80">
        <f>F57+H56</f>
        <v>3555929370</v>
      </c>
    </row>
    <row r="58" spans="1:9">
      <c r="A58" s="151" t="s">
        <v>80</v>
      </c>
      <c r="B58" s="151"/>
      <c r="C58" s="151"/>
      <c r="D58" s="151"/>
      <c r="E58" s="151"/>
      <c r="F58" s="151"/>
      <c r="G58" s="151"/>
      <c r="H58" s="151"/>
      <c r="I58" s="133">
        <f>SUM(I47)+I35+I24+I12</f>
        <v>18684831090</v>
      </c>
    </row>
    <row r="59" spans="1:9" ht="60">
      <c r="A59" s="119" t="s">
        <v>61</v>
      </c>
      <c r="B59" s="110" t="s">
        <v>73</v>
      </c>
      <c r="C59" s="110" t="s">
        <v>59</v>
      </c>
      <c r="D59" s="110" t="s">
        <v>74</v>
      </c>
      <c r="E59" s="110" t="s">
        <v>61</v>
      </c>
      <c r="F59" s="110" t="s">
        <v>75</v>
      </c>
      <c r="G59" s="110" t="s">
        <v>59</v>
      </c>
      <c r="H59" s="110" t="s">
        <v>76</v>
      </c>
    </row>
    <row r="60" spans="1:9" ht="15">
      <c r="A60" s="81">
        <v>2021</v>
      </c>
      <c r="B60" s="74">
        <v>0</v>
      </c>
      <c r="C60" s="75">
        <v>2021</v>
      </c>
      <c r="D60" s="82">
        <f>B60</f>
        <v>0</v>
      </c>
      <c r="E60" s="81">
        <v>2021</v>
      </c>
      <c r="F60" s="74">
        <v>0</v>
      </c>
      <c r="G60" s="114">
        <v>2021</v>
      </c>
      <c r="H60" s="76">
        <v>0</v>
      </c>
      <c r="I60" s="85"/>
    </row>
    <row r="61" spans="1:9" ht="15">
      <c r="A61" s="81">
        <v>2022</v>
      </c>
      <c r="B61" s="77">
        <f>B3*$I$58</f>
        <v>3191369150.1719999</v>
      </c>
      <c r="C61" s="78" t="s">
        <v>64</v>
      </c>
      <c r="D61" s="84">
        <f>B61</f>
        <v>3191369150.1719999</v>
      </c>
      <c r="E61" s="81">
        <v>2022</v>
      </c>
      <c r="F61" s="74">
        <v>0</v>
      </c>
      <c r="G61" s="78" t="s">
        <v>64</v>
      </c>
      <c r="H61" s="76">
        <v>0</v>
      </c>
    </row>
    <row r="62" spans="1:9" ht="15">
      <c r="A62" s="81">
        <v>2023</v>
      </c>
      <c r="B62" s="77">
        <f t="shared" ref="B62:B68" si="10">B4*$I$58</f>
        <v>3243686677.224</v>
      </c>
      <c r="C62" s="78" t="s">
        <v>65</v>
      </c>
      <c r="D62" s="84">
        <f>D61+B62</f>
        <v>6435055827.3959999</v>
      </c>
      <c r="E62" s="81">
        <v>2023</v>
      </c>
      <c r="F62" s="74">
        <v>0</v>
      </c>
      <c r="G62" s="78" t="s">
        <v>65</v>
      </c>
      <c r="H62" s="76">
        <v>0</v>
      </c>
    </row>
    <row r="63" spans="1:9" ht="15">
      <c r="A63" s="81">
        <v>2024</v>
      </c>
      <c r="B63" s="77">
        <f t="shared" si="10"/>
        <v>3296004204.276</v>
      </c>
      <c r="C63" s="78" t="s">
        <v>66</v>
      </c>
      <c r="D63" s="84">
        <f t="shared" ref="D63:D66" si="11">D62+B63</f>
        <v>9731060031.6720009</v>
      </c>
      <c r="E63" s="81">
        <v>2024</v>
      </c>
      <c r="F63" s="74">
        <v>0</v>
      </c>
      <c r="G63" s="78" t="s">
        <v>66</v>
      </c>
      <c r="H63" s="76">
        <v>0</v>
      </c>
    </row>
    <row r="64" spans="1:9" ht="15">
      <c r="A64" s="81">
        <v>2025</v>
      </c>
      <c r="B64" s="77">
        <f t="shared" si="10"/>
        <v>3348321731.3280001</v>
      </c>
      <c r="C64" s="79" t="s">
        <v>67</v>
      </c>
      <c r="D64" s="84">
        <f t="shared" si="11"/>
        <v>13079381763</v>
      </c>
      <c r="E64" s="81">
        <v>2025</v>
      </c>
      <c r="F64" s="83">
        <f>F6*$I$58</f>
        <v>3191369150.1719999</v>
      </c>
      <c r="G64" s="79" t="s">
        <v>67</v>
      </c>
      <c r="H64" s="80">
        <f>F64</f>
        <v>3191369150.1719999</v>
      </c>
    </row>
    <row r="65" spans="1:8" ht="15">
      <c r="A65" s="81">
        <v>2026</v>
      </c>
      <c r="B65" s="77">
        <f t="shared" si="10"/>
        <v>2774697416.8649998</v>
      </c>
      <c r="C65" s="78" t="s">
        <v>68</v>
      </c>
      <c r="D65" s="84">
        <f t="shared" si="11"/>
        <v>15854079179.865</v>
      </c>
      <c r="E65" s="81">
        <v>2026</v>
      </c>
      <c r="F65" s="83">
        <f t="shared" ref="F65:F68" si="12">F7*$I$58</f>
        <v>3243686677.224</v>
      </c>
      <c r="G65" s="78" t="s">
        <v>68</v>
      </c>
      <c r="H65" s="80">
        <f>F65+H64</f>
        <v>6435055827.3959999</v>
      </c>
    </row>
    <row r="66" spans="1:8" ht="15">
      <c r="A66" s="81">
        <v>2027</v>
      </c>
      <c r="B66" s="77">
        <f t="shared" si="10"/>
        <v>2830751910.1349998</v>
      </c>
      <c r="C66" s="78" t="s">
        <v>69</v>
      </c>
      <c r="D66" s="84">
        <f t="shared" si="11"/>
        <v>18684831090</v>
      </c>
      <c r="E66" s="81">
        <v>2027</v>
      </c>
      <c r="F66" s="83">
        <f t="shared" si="12"/>
        <v>3296004204.276</v>
      </c>
      <c r="G66" s="78" t="s">
        <v>69</v>
      </c>
      <c r="H66" s="80">
        <f>F66+H65</f>
        <v>9731060031.6720009</v>
      </c>
    </row>
    <row r="67" spans="1:8" ht="15">
      <c r="A67" s="81">
        <v>2028</v>
      </c>
      <c r="B67" s="77">
        <f t="shared" si="10"/>
        <v>0</v>
      </c>
      <c r="C67" s="78" t="s">
        <v>70</v>
      </c>
      <c r="D67" s="84"/>
      <c r="E67" s="81">
        <v>2028</v>
      </c>
      <c r="F67" s="83">
        <f t="shared" si="12"/>
        <v>3348321731.3280001</v>
      </c>
      <c r="G67" s="78" t="s">
        <v>70</v>
      </c>
      <c r="H67" s="80">
        <f>F67+H66</f>
        <v>13079381763</v>
      </c>
    </row>
    <row r="68" spans="1:8" ht="15">
      <c r="A68" s="81">
        <v>2029</v>
      </c>
      <c r="B68" s="77">
        <f t="shared" si="10"/>
        <v>0</v>
      </c>
      <c r="C68" s="78" t="s">
        <v>71</v>
      </c>
      <c r="D68" s="84"/>
      <c r="E68" s="81">
        <v>2029</v>
      </c>
      <c r="F68" s="83">
        <f t="shared" si="12"/>
        <v>5605449327</v>
      </c>
      <c r="G68" s="78" t="s">
        <v>71</v>
      </c>
      <c r="H68" s="80">
        <f>F68+H67</f>
        <v>18684831090</v>
      </c>
    </row>
  </sheetData>
  <mergeCells count="5">
    <mergeCell ref="A12:H12"/>
    <mergeCell ref="A24:H24"/>
    <mergeCell ref="A35:H35"/>
    <mergeCell ref="A47:H47"/>
    <mergeCell ref="A58:H5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9" ma:contentTypeDescription="Vytvoří nový dokument" ma:contentTypeScope="" ma:versionID="ed381681f88c5a65880af36e43e52388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78a231ee8dacb1aca20c30cd34283bc4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6e955f-6355-4a61-ae3b-658e8d2c932c}" ma:internalName="TaxCatchAll" ma:showField="CatchAllData" ma:web="a867a263-4c00-4944-a435-72febfd70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TaxCatchAll xmlns="a867a263-4c00-4944-a435-72febfd70997" xsi:nil="true"/>
    <lcf76f155ced4ddcb4097134ff3c332f xmlns="ae529b29-b2bb-4f0f-bf76-47ede62a77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9F0927-F592-4A4E-8A7C-1BCE9B154414}"/>
</file>

<file path=customXml/itemProps2.xml><?xml version="1.0" encoding="utf-8"?>
<ds:datastoreItem xmlns:ds="http://schemas.openxmlformats.org/officeDocument/2006/customXml" ds:itemID="{EC9670F4-1F32-4201-A9A8-172A4A42111E}"/>
</file>

<file path=customXml/itemProps3.xml><?xml version="1.0" encoding="utf-8"?>
<ds:datastoreItem xmlns:ds="http://schemas.openxmlformats.org/officeDocument/2006/customXml" ds:itemID="{030388B7-CC0C-4045-9D78-3FBDFFE5B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Ministerstvo pro místní rozvoj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Pergl Ondřej</dc:creator>
  <cp:keywords/>
  <dc:description/>
  <cp:lastModifiedBy/>
  <cp:revision/>
  <dcterms:created xsi:type="dcterms:W3CDTF">2021-05-07T10:59:53Z</dcterms:created>
  <dcterms:modified xsi:type="dcterms:W3CDTF">2022-07-15T09:31:42Z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  <property fmtid="{D5CDD505-2E9C-101B-9397-08002B2CF9AE}" pid="3" name="MediaServiceImageTags">
    <vt:lpwstr/>
  </property>
</Properties>
</file>