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3. - malé projekty\Malé projekty_normální\Výzva+pravidla+přílohy k předání\"/>
    </mc:Choice>
  </mc:AlternateContent>
  <xr:revisionPtr revIDLastSave="0" documentId="13_ncr:1_{7AA1190A-B6C9-4E8C-AFFF-FB8953E60606}" xr6:coauthVersionLast="47" xr6:coauthVersionMax="47" xr10:uidLastSave="{00000000-0000-0000-0000-000000000000}"/>
  <bookViews>
    <workbookView xWindow="-120" yWindow="-120" windowWidth="29040" windowHeight="17640" xr2:uid="{A37DAE4E-C025-4512-8C91-B808E9489739}"/>
  </bookViews>
  <sheets>
    <sheet name="Modelovy_priklad" sheetId="1" r:id="rId1"/>
    <sheet name="Model - vz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2" i="2" s="1"/>
  <c r="C11" i="2"/>
  <c r="C18" i="2" s="1"/>
  <c r="C17" i="1"/>
  <c r="C24" i="1" s="1"/>
  <c r="C25" i="1" s="1"/>
  <c r="C26" i="1" s="1"/>
  <c r="C20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C19" i="2" l="1"/>
  <c r="C20" i="2" s="1"/>
  <c r="D32" i="2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C27" i="1"/>
  <c r="C32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E32" i="2" l="1"/>
  <c r="C21" i="2"/>
  <c r="C30" i="1"/>
  <c r="D31" i="1"/>
  <c r="D33" i="1" s="1"/>
  <c r="C33" i="1" s="1"/>
  <c r="C41" i="1" s="1"/>
  <c r="H51" i="1"/>
  <c r="C40" i="1"/>
  <c r="C24" i="2" l="1"/>
  <c r="C26" i="2"/>
  <c r="H45" i="2" s="1"/>
  <c r="D25" i="2"/>
  <c r="D27" i="2" s="1"/>
  <c r="C27" i="2" s="1"/>
  <c r="C35" i="2" s="1"/>
  <c r="F32" i="2"/>
  <c r="E40" i="1"/>
  <c r="F40" i="1"/>
  <c r="G40" i="1"/>
  <c r="J40" i="1"/>
  <c r="L40" i="1"/>
  <c r="D40" i="1"/>
  <c r="H40" i="1"/>
  <c r="I40" i="1"/>
  <c r="K40" i="1"/>
  <c r="M40" i="1"/>
  <c r="H41" i="1"/>
  <c r="I41" i="1"/>
  <c r="J41" i="1"/>
  <c r="K41" i="1"/>
  <c r="L41" i="1"/>
  <c r="L42" i="1" s="1"/>
  <c r="L44" i="1" s="1"/>
  <c r="E41" i="1"/>
  <c r="M41" i="1"/>
  <c r="F41" i="1"/>
  <c r="G41" i="1"/>
  <c r="D41" i="1"/>
  <c r="C34" i="1"/>
  <c r="C42" i="1"/>
  <c r="C44" i="1" s="1"/>
  <c r="G42" i="1" l="1"/>
  <c r="G44" i="1" s="1"/>
  <c r="F42" i="1"/>
  <c r="F44" i="1" s="1"/>
  <c r="L35" i="2"/>
  <c r="D35" i="2"/>
  <c r="K35" i="2"/>
  <c r="J35" i="2"/>
  <c r="I35" i="2"/>
  <c r="H35" i="2"/>
  <c r="G35" i="2"/>
  <c r="F35" i="2"/>
  <c r="M35" i="2"/>
  <c r="E35" i="2"/>
  <c r="C28" i="2"/>
  <c r="C34" i="2"/>
  <c r="G32" i="2"/>
  <c r="J42" i="1"/>
  <c r="J44" i="1" s="1"/>
  <c r="E42" i="1"/>
  <c r="E44" i="1" s="1"/>
  <c r="K42" i="1"/>
  <c r="K44" i="1" s="1"/>
  <c r="M42" i="1"/>
  <c r="M44" i="1" s="1"/>
  <c r="D42" i="1"/>
  <c r="D44" i="1" s="1"/>
  <c r="I42" i="1"/>
  <c r="I44" i="1" s="1"/>
  <c r="H42" i="1"/>
  <c r="H44" i="1" s="1"/>
  <c r="G34" i="2" l="1"/>
  <c r="F34" i="2"/>
  <c r="F36" i="2" s="1"/>
  <c r="F38" i="2" s="1"/>
  <c r="M34" i="2"/>
  <c r="E34" i="2"/>
  <c r="E36" i="2" s="1"/>
  <c r="E38" i="2" s="1"/>
  <c r="L34" i="2"/>
  <c r="D34" i="2"/>
  <c r="D36" i="2" s="1"/>
  <c r="D38" i="2" s="1"/>
  <c r="K34" i="2"/>
  <c r="I34" i="2"/>
  <c r="H34" i="2"/>
  <c r="J34" i="2"/>
  <c r="C36" i="2"/>
  <c r="C38" i="2" s="1"/>
  <c r="H32" i="2"/>
  <c r="G36" i="2"/>
  <c r="G38" i="2" s="1"/>
  <c r="H36" i="2" l="1"/>
  <c r="H38" i="2" s="1"/>
  <c r="I32" i="2"/>
  <c r="I36" i="2" l="1"/>
  <c r="I38" i="2" s="1"/>
  <c r="J32" i="2"/>
  <c r="K32" i="2" l="1"/>
  <c r="J36" i="2"/>
  <c r="J38" i="2" s="1"/>
  <c r="L32" i="2" l="1"/>
  <c r="K36" i="2"/>
  <c r="K38" i="2" s="1"/>
  <c r="M32" i="2" l="1"/>
  <c r="M36" i="2" s="1"/>
  <c r="M38" i="2" s="1"/>
  <c r="L36" i="2"/>
  <c r="L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51" authorId="0" shapeId="0" xr:uid="{88AA48CF-7154-47F3-96C6-15F6FC6F402C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5" authorId="0" shapeId="0" xr:uid="{7465EBA4-FCDA-4F1D-ABDF-74ED51F6A2D6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sharedStrings.xml><?xml version="1.0" encoding="utf-8"?>
<sst xmlns="http://schemas.openxmlformats.org/spreadsheetml/2006/main" count="144" uniqueCount="75">
  <si>
    <t>parametr k nastavení</t>
  </si>
  <si>
    <t>Stavební náklady vč. DPH</t>
  </si>
  <si>
    <t>Ostatní pořizovací náklady</t>
  </si>
  <si>
    <t xml:space="preserve">Vklad obce: </t>
  </si>
  <si>
    <t xml:space="preserve">SFPI dotace: </t>
  </si>
  <si>
    <t>SFPI úvěr</t>
  </si>
  <si>
    <t>Bankovní úvěr</t>
  </si>
  <si>
    <t xml:space="preserve">zbývá: </t>
  </si>
  <si>
    <r>
      <t xml:space="preserve">Přehled </t>
    </r>
    <r>
      <rPr>
        <b/>
        <sz val="12"/>
        <color theme="1"/>
        <rFont val="Calibri"/>
        <family val="2"/>
        <charset val="238"/>
        <scheme val="minor"/>
      </rPr>
      <t>MĚSÍČNÍCH</t>
    </r>
    <r>
      <rPr>
        <sz val="12"/>
        <color theme="1"/>
        <rFont val="Calibri"/>
        <family val="2"/>
        <scheme val="minor"/>
      </rPr>
      <t xml:space="preserve"> peněžních toků: </t>
    </r>
  </si>
  <si>
    <t xml:space="preserve">Nájemné: </t>
  </si>
  <si>
    <t xml:space="preserve">Provozní náklady: </t>
  </si>
  <si>
    <t>Splátka bankovního úvěru</t>
  </si>
  <si>
    <t xml:space="preserve">Čisté cash flow měsíčně: </t>
  </si>
  <si>
    <t xml:space="preserve">Čisté cash flow ročně: </t>
  </si>
  <si>
    <t>Počet bytů</t>
  </si>
  <si>
    <t>Provozní náklady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</si>
  <si>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</si>
  <si>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</si>
  <si>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</si>
  <si>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</si>
  <si>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</si>
  <si>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</si>
  <si>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</si>
  <si>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</si>
  <si>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</si>
  <si>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</si>
  <si>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</si>
  <si>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Předpoklady</t>
  </si>
  <si>
    <t>rok xx…</t>
  </si>
  <si>
    <t xml:space="preserve">Nájemné za byt měsíčně (bez energií): </t>
  </si>
  <si>
    <r>
      <t>Stavební náklady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(vč. DPH): </t>
    </r>
  </si>
  <si>
    <r>
      <t>Nájemné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bytu: </t>
    </r>
  </si>
  <si>
    <r>
      <t>Plocha bytů vč. společných prostor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</si>
  <si>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Průměrná velikost bytu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): </t>
    </r>
  </si>
  <si>
    <t>Splátka SFPI úvěru</t>
  </si>
  <si>
    <t xml:space="preserve">Průměrná výše nájmu v lokalitě (dle realitních serverů). 
Jedná se o čisté nájemné, bez energií a dalších poplatků. </t>
  </si>
  <si>
    <t>Včetně společných prostor (cca 20% celkové plochy)</t>
  </si>
  <si>
    <t>Dopočítaná hodnota</t>
  </si>
  <si>
    <t>Indikativní výše stavebních nákladů včetně DPH vyjádřená na metr čtvereční</t>
  </si>
  <si>
    <r>
      <t xml:space="preserve">ostatní náklady </t>
    </r>
    <r>
      <rPr>
        <u/>
        <sz val="12"/>
        <color theme="1"/>
        <rFont val="Calibri"/>
        <family val="2"/>
        <charset val="238"/>
        <scheme val="minor"/>
      </rPr>
      <t>přímo související s přípravou projektu</t>
    </r>
    <r>
      <rPr>
        <sz val="12"/>
        <color theme="1"/>
        <rFont val="Calibri"/>
        <family val="2"/>
        <scheme val="minor"/>
      </rPr>
      <t xml:space="preserve">: např. náklady na projektanty, povolovací proces, poradenství... </t>
    </r>
  </si>
  <si>
    <t>Předpokládaná výše dotace na přípravu projektu</t>
  </si>
  <si>
    <t>Objem peněžních prostředků vložených obcí</t>
  </si>
  <si>
    <t>Předpokládaná výše dotace SFPI v rámci programu "Nájemní bydlení"</t>
  </si>
  <si>
    <t>Předpokládaná výše zvýhodněného úvěru SFPI v rámci programu "Nájemní bydlení"</t>
  </si>
  <si>
    <t xml:space="preserve">Zbylé prostředky pokryté bankovním financováním </t>
  </si>
  <si>
    <t>Kontrolní buňka</t>
  </si>
  <si>
    <t>*Model představuje základní techniku výpočtu nákladovosti projektu dostupného nájemního bydlení. Nezohledňuje daně z příjmu PO, DPH, kapitalizaci úroků, apod.</t>
  </si>
  <si>
    <t>průměrná výše nákladů na provoz a správu bytového domu</t>
  </si>
  <si>
    <t xml:space="preserve"> inflační cíl ČNB</t>
  </si>
  <si>
    <t>meziroční indexace nájmů</t>
  </si>
  <si>
    <t xml:space="preserve">Základní parametry úvěrů: </t>
  </si>
  <si>
    <t xml:space="preserve">Sazba p.a. </t>
  </si>
  <si>
    <t>Doba splácení</t>
  </si>
  <si>
    <t xml:space="preserve">Popis polí: </t>
  </si>
  <si>
    <t xml:space="preserve">Hodnoty: </t>
  </si>
  <si>
    <t>anuitní splácení</t>
  </si>
  <si>
    <t>Počet bytů v bytovém domě</t>
  </si>
  <si>
    <t>Průměrná velikost bytů napříč kategoriemi</t>
  </si>
  <si>
    <t xml:space="preserve">Finanční zdroje: </t>
  </si>
  <si>
    <t>Dotace</t>
  </si>
  <si>
    <t>Investiční náklady celkem</t>
  </si>
  <si>
    <r>
      <t>Ilustrativní finanční model vzorového projektu dostupného bydlení</t>
    </r>
    <r>
      <rPr>
        <b/>
        <sz val="16"/>
        <color theme="0" tint="-0.499984740745262"/>
        <rFont val="Calibri"/>
        <family val="2"/>
        <charset val="238"/>
        <scheme val="minor"/>
      </rPr>
      <t>*</t>
    </r>
  </si>
  <si>
    <t>fixní parametr</t>
  </si>
  <si>
    <t>dopočítaná hodnota</t>
  </si>
  <si>
    <t>parametr k nastavení - vyplní žadatel</t>
  </si>
  <si>
    <t xml:space="preserve">Dotace (zde předvyplněno pro SFPI - Nájemní bydlení): </t>
  </si>
  <si>
    <t xml:space="preserve">Úvěr (zde předvyplněno pro SFPI - Nájemní bydlení): </t>
  </si>
  <si>
    <t>Předpokládaná výše dotace SFPI v rámci programu "Nájemní bydlení", žadatel doplní výši předpokládané dotace v Kč</t>
  </si>
  <si>
    <t>Předpokládaná výše dotace na přípravu projektu - nastavit dle požadované částky. Maximální výše možné dtace činí v dané výzvě 10.00.000,- Kč</t>
  </si>
  <si>
    <t>Lze nastavit i dle jiných dotačních programů</t>
  </si>
  <si>
    <t xml:space="preserve"> 10 let interest only </t>
  </si>
  <si>
    <t>lze využít i režim "interest only", zde nastaveno na 10 let</t>
  </si>
  <si>
    <t>Žadatelé mají možnost tuto přílohu využít jako vzor, ale nejsou k tomu povinni. Žadatelé tedy mohou doložit vlastní finanční model.</t>
  </si>
  <si>
    <t>Příloha č. 15  - Finanční model realizace stavby - následné podmínky výzvy 
Platnost od: 12. 2. 2024</t>
  </si>
  <si>
    <t>Příloha č. 14  - Finanční model realizace stavby - následné podmínky výzvy 
Platnost od: 12. 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</si>
</sst>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3" applyFill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4" borderId="0" xfId="1" applyNumberFormat="1" applyFont="1" applyFill="1"/>
    <xf numFmtId="0" fontId="1" fillId="0" borderId="0" xfId="3"/>
    <xf numFmtId="0" fontId="1" fillId="5" borderId="0" xfId="3" applyFill="1"/>
    <xf numFmtId="0" fontId="3" fillId="2" borderId="0" xfId="3" applyFont="1" applyFill="1"/>
    <xf numFmtId="164" fontId="3" fillId="2" borderId="0" xfId="1" applyNumberFormat="1" applyFont="1" applyFill="1"/>
    <xf numFmtId="9" fontId="1" fillId="3" borderId="0" xfId="2" applyFont="1" applyFill="1"/>
    <xf numFmtId="9" fontId="1" fillId="6" borderId="0" xfId="2" applyFont="1" applyFill="1"/>
    <xf numFmtId="165" fontId="1" fillId="2" borderId="0" xfId="2" applyNumberFormat="1" applyFont="1" applyFill="1"/>
    <xf numFmtId="164" fontId="3" fillId="7" borderId="0" xfId="1" applyNumberFormat="1" applyFont="1" applyFill="1"/>
    <xf numFmtId="9" fontId="1" fillId="6" borderId="0" xfId="2" applyNumberFormat="1" applyFont="1" applyFill="1"/>
    <xf numFmtId="164" fontId="1" fillId="2" borderId="0" xfId="3" applyNumberFormat="1" applyFill="1"/>
    <xf numFmtId="164" fontId="6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0" fontId="1" fillId="0" borderId="0" xfId="3" applyFill="1"/>
    <xf numFmtId="164" fontId="9" fillId="2" borderId="0" xfId="3" applyNumberFormat="1" applyFont="1" applyFill="1"/>
    <xf numFmtId="0" fontId="1" fillId="2" borderId="0" xfId="3" applyFill="1" applyAlignment="1"/>
    <xf numFmtId="164" fontId="3" fillId="4" borderId="0" xfId="1" applyNumberFormat="1" applyFont="1" applyFill="1"/>
    <xf numFmtId="9" fontId="1" fillId="5" borderId="0" xfId="2" applyFont="1" applyFill="1"/>
    <xf numFmtId="0" fontId="1" fillId="4" borderId="0" xfId="3" applyFill="1"/>
    <xf numFmtId="164" fontId="1" fillId="5" borderId="0" xfId="1" applyNumberFormat="1" applyFont="1" applyFill="1"/>
    <xf numFmtId="0" fontId="3" fillId="2" borderId="0" xfId="3" applyFont="1" applyFill="1" applyAlignment="1">
      <alignment horizontal="right"/>
    </xf>
    <xf numFmtId="0" fontId="3" fillId="8" borderId="0" xfId="3" applyFont="1" applyFill="1"/>
    <xf numFmtId="0" fontId="1" fillId="8" borderId="0" xfId="3" applyFill="1"/>
    <xf numFmtId="164" fontId="3" fillId="8" borderId="0" xfId="1" applyNumberFormat="1" applyFont="1" applyFill="1" applyAlignment="1">
      <alignment horizontal="center"/>
    </xf>
    <xf numFmtId="9" fontId="1" fillId="9" borderId="0" xfId="3" applyNumberFormat="1" applyFill="1"/>
    <xf numFmtId="0" fontId="11" fillId="2" borderId="0" xfId="3" applyFont="1" applyFill="1" applyAlignment="1">
      <alignment horizontal="center" vertical="center"/>
    </xf>
    <xf numFmtId="164" fontId="1" fillId="10" borderId="0" xfId="1" applyNumberFormat="1" applyFont="1" applyFill="1"/>
    <xf numFmtId="164" fontId="1" fillId="9" borderId="0" xfId="1" applyNumberFormat="1" applyFont="1" applyFill="1"/>
    <xf numFmtId="164" fontId="1" fillId="11" borderId="0" xfId="1" applyNumberFormat="1" applyFont="1" applyFill="1"/>
    <xf numFmtId="0" fontId="1" fillId="11" borderId="0" xfId="3" applyFill="1"/>
    <xf numFmtId="164" fontId="3" fillId="11" borderId="0" xfId="1" applyNumberFormat="1" applyFont="1" applyFill="1"/>
    <xf numFmtId="9" fontId="1" fillId="11" borderId="0" xfId="2" applyNumberFormat="1" applyFont="1" applyFill="1"/>
    <xf numFmtId="0" fontId="13" fillId="2" borderId="0" xfId="3" applyFont="1" applyFill="1"/>
    <xf numFmtId="164" fontId="1" fillId="5" borderId="1" xfId="1" applyNumberFormat="1" applyFont="1" applyFill="1" applyBorder="1"/>
    <xf numFmtId="0" fontId="1" fillId="5" borderId="2" xfId="3" applyFill="1" applyBorder="1"/>
    <xf numFmtId="0" fontId="1" fillId="5" borderId="3" xfId="3" applyFill="1" applyBorder="1"/>
    <xf numFmtId="164" fontId="14" fillId="2" borderId="0" xfId="1" applyNumberFormat="1" applyFont="1" applyFill="1" applyAlignment="1">
      <alignment horizontal="left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C7C74AEF-164D-4507-B9FD-3AC6951CCA79}"/>
    <cellStyle name="Procenta" xfId="2" builtinId="5"/>
    <cellStyle name="Procenta 2" xfId="4" xr:uid="{AE15FB65-A4F4-4C0D-B174-57E85C1FD7F3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2</xdr:rowOff>
    </xdr:from>
    <xdr:to>
      <xdr:col>1</xdr:col>
      <xdr:colOff>1905001</xdr:colOff>
      <xdr:row>0</xdr:row>
      <xdr:rowOff>561976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3E67F6-058E-4E77-B589-E055AB81DB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2"/>
          <a:ext cx="1524000" cy="561974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771525</xdr:colOff>
      <xdr:row>0</xdr:row>
      <xdr:rowOff>0</xdr:rowOff>
    </xdr:from>
    <xdr:to>
      <xdr:col>12</xdr:col>
      <xdr:colOff>647701</xdr:colOff>
      <xdr:row>0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200386E-7B23-422D-BE60-7D899DCED3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0"/>
          <a:ext cx="1552576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</xdr:rowOff>
    </xdr:from>
    <xdr:to>
      <xdr:col>1</xdr:col>
      <xdr:colOff>2200275</xdr:colOff>
      <xdr:row>0</xdr:row>
      <xdr:rowOff>628650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1DB254-2EE4-4B6F-A7EB-641482DE6E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"/>
          <a:ext cx="1819275" cy="628649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771524</xdr:colOff>
      <xdr:row>0</xdr:row>
      <xdr:rowOff>0</xdr:rowOff>
    </xdr:from>
    <xdr:to>
      <xdr:col>12</xdr:col>
      <xdr:colOff>800099</xdr:colOff>
      <xdr:row>0</xdr:row>
      <xdr:rowOff>628650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BB8190E-C5D1-4B2D-A7CD-5069458D6DB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0"/>
          <a:ext cx="17049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8C86-63C6-4D13-ADF4-43E5A85328E5}">
  <dimension ref="A1:M54"/>
  <sheetViews>
    <sheetView tabSelected="1" zoomScaleNormal="100" workbookViewId="0">
      <selection activeCell="B1" sqref="B1:M1"/>
    </sheetView>
  </sheetViews>
  <sheetFormatPr defaultColWidth="12.5703125" defaultRowHeight="15.75" x14ac:dyDescent="0.25"/>
  <cols>
    <col min="1" max="1" width="3.140625" style="1" customWidth="1"/>
    <col min="2" max="2" width="39.7109375" style="1" bestFit="1" customWidth="1"/>
    <col min="3" max="3" width="14" style="2" bestFit="1" customWidth="1"/>
    <col min="4" max="4" width="14.42578125" style="1" customWidth="1"/>
    <col min="5" max="16384" width="12.5703125" style="1"/>
  </cols>
  <sheetData>
    <row r="1" spans="1:13" customFormat="1" ht="54.75" customHeight="1" thickBot="1" x14ac:dyDescent="0.25">
      <c r="B1" s="44" t="s">
        <v>74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customFormat="1" ht="9.75" customHeigh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customFormat="1" ht="18.75" x14ac:dyDescent="0.2">
      <c r="A3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customFormat="1" ht="18.75" x14ac:dyDescent="0.2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customFormat="1" ht="18.75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customFormat="1" ht="18.75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customFormat="1" ht="18.75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9" spans="1:13" x14ac:dyDescent="0.25">
      <c r="B9" s="43" t="s">
        <v>61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ht="21" x14ac:dyDescent="0.25">
      <c r="B11" s="3" t="s"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21" x14ac:dyDescent="0.25">
      <c r="B12" s="30" t="s">
        <v>63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21" x14ac:dyDescent="0.25">
      <c r="B13" s="4" t="s">
        <v>62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x14ac:dyDescent="0.25">
      <c r="C14" s="8" t="s">
        <v>54</v>
      </c>
      <c r="D14" s="7"/>
      <c r="E14" s="7" t="s">
        <v>53</v>
      </c>
    </row>
    <row r="15" spans="1:13" x14ac:dyDescent="0.25">
      <c r="B15" s="1" t="s">
        <v>14</v>
      </c>
      <c r="C15" s="3">
        <v>30</v>
      </c>
      <c r="E15" s="1" t="s">
        <v>56</v>
      </c>
      <c r="L15" s="2"/>
    </row>
    <row r="16" spans="1:13" ht="18" x14ac:dyDescent="0.25">
      <c r="B16" s="1" t="s">
        <v>33</v>
      </c>
      <c r="C16" s="3">
        <v>55</v>
      </c>
      <c r="E16" s="1" t="s">
        <v>57</v>
      </c>
      <c r="L16" s="2"/>
      <c r="M16" s="2"/>
    </row>
    <row r="17" spans="2:10" ht="18" x14ac:dyDescent="0.25">
      <c r="B17" s="5" t="s">
        <v>32</v>
      </c>
      <c r="C17" s="2">
        <f>C15*C16*1.2</f>
        <v>1980</v>
      </c>
      <c r="E17" s="1" t="s">
        <v>36</v>
      </c>
    </row>
    <row r="18" spans="2:10" ht="10.5" customHeight="1" x14ac:dyDescent="0.25"/>
    <row r="19" spans="2:10" ht="18" x14ac:dyDescent="0.25">
      <c r="B19" s="1" t="s">
        <v>31</v>
      </c>
      <c r="C19" s="3">
        <v>250</v>
      </c>
      <c r="E19" s="19" t="s">
        <v>35</v>
      </c>
    </row>
    <row r="20" spans="2:10" x14ac:dyDescent="0.25">
      <c r="B20" s="1" t="s">
        <v>29</v>
      </c>
      <c r="C20" s="4">
        <f>C19*C16</f>
        <v>13750</v>
      </c>
      <c r="E20" s="22" t="s">
        <v>37</v>
      </c>
      <c r="F20" s="22"/>
    </row>
    <row r="21" spans="2:10" ht="10.5" customHeight="1" x14ac:dyDescent="0.25"/>
    <row r="22" spans="2:10" ht="18" x14ac:dyDescent="0.25">
      <c r="B22" s="1" t="s">
        <v>30</v>
      </c>
      <c r="C22" s="4">
        <v>80000</v>
      </c>
      <c r="E22" s="1" t="s">
        <v>38</v>
      </c>
    </row>
    <row r="24" spans="2:10" x14ac:dyDescent="0.25">
      <c r="B24" s="1" t="s">
        <v>1</v>
      </c>
      <c r="C24" s="4">
        <f>C17*C22</f>
        <v>158400000</v>
      </c>
      <c r="E24" s="22" t="s">
        <v>37</v>
      </c>
      <c r="F24" s="22"/>
    </row>
    <row r="25" spans="2:10" x14ac:dyDescent="0.25">
      <c r="B25" s="1" t="s">
        <v>2</v>
      </c>
      <c r="C25" s="2">
        <f>C24*6%</f>
        <v>9504000</v>
      </c>
      <c r="E25" s="1" t="s">
        <v>39</v>
      </c>
    </row>
    <row r="26" spans="2:10" x14ac:dyDescent="0.25">
      <c r="B26" s="1" t="s">
        <v>59</v>
      </c>
      <c r="C26" s="4">
        <f>IF(C25&gt;13000000,-13000000,-C25)</f>
        <v>-9504000</v>
      </c>
      <c r="E26" s="1" t="s">
        <v>40</v>
      </c>
    </row>
    <row r="27" spans="2:10" x14ac:dyDescent="0.25">
      <c r="B27" s="7" t="s">
        <v>60</v>
      </c>
      <c r="C27" s="20">
        <f>SUM(C24:C26)</f>
        <v>158400000</v>
      </c>
      <c r="E27" s="22" t="s">
        <v>37</v>
      </c>
      <c r="F27" s="22"/>
    </row>
    <row r="29" spans="2:10" x14ac:dyDescent="0.25">
      <c r="B29" s="7" t="s">
        <v>58</v>
      </c>
    </row>
    <row r="30" spans="2:10" x14ac:dyDescent="0.25">
      <c r="B30" s="1" t="s">
        <v>3</v>
      </c>
      <c r="C30" s="4">
        <f>$C$27*D30</f>
        <v>39600000</v>
      </c>
      <c r="D30" s="9">
        <v>0.25</v>
      </c>
      <c r="E30" s="1" t="s">
        <v>41</v>
      </c>
    </row>
    <row r="31" spans="2:10" x14ac:dyDescent="0.25">
      <c r="B31" s="1" t="s">
        <v>4</v>
      </c>
      <c r="C31" s="4">
        <v>31000000</v>
      </c>
      <c r="D31" s="21">
        <f>C31/C27</f>
        <v>0.19570707070707072</v>
      </c>
      <c r="E31" s="6" t="s">
        <v>42</v>
      </c>
      <c r="F31" s="6"/>
      <c r="G31" s="6"/>
      <c r="H31" s="6"/>
      <c r="I31" s="6"/>
      <c r="J31" s="6"/>
    </row>
    <row r="32" spans="2:10" x14ac:dyDescent="0.25">
      <c r="B32" s="11" t="s">
        <v>5</v>
      </c>
      <c r="C32" s="4">
        <f t="shared" ref="C32:C33" si="0">$C$27*D32</f>
        <v>63360000</v>
      </c>
      <c r="D32" s="9">
        <v>0.4</v>
      </c>
      <c r="E32" s="6" t="s">
        <v>43</v>
      </c>
      <c r="F32" s="6"/>
      <c r="G32" s="6"/>
      <c r="H32" s="6"/>
      <c r="I32" s="6"/>
      <c r="J32" s="6"/>
    </row>
    <row r="33" spans="2:13" x14ac:dyDescent="0.25">
      <c r="B33" s="1" t="s">
        <v>6</v>
      </c>
      <c r="C33" s="4">
        <f t="shared" si="0"/>
        <v>24439999.999999996</v>
      </c>
      <c r="D33" s="13">
        <f>1-SUM(D30:D32)</f>
        <v>0.15429292929292926</v>
      </c>
      <c r="E33" s="1" t="s">
        <v>44</v>
      </c>
    </row>
    <row r="34" spans="2:13" x14ac:dyDescent="0.25">
      <c r="B34" s="1" t="s">
        <v>7</v>
      </c>
      <c r="C34" s="2">
        <f>C27-SUM(C30:C33)</f>
        <v>0</v>
      </c>
      <c r="E34" s="22" t="s">
        <v>45</v>
      </c>
      <c r="F34" s="22"/>
    </row>
    <row r="37" spans="2:13" x14ac:dyDescent="0.25">
      <c r="B37" s="26" t="s">
        <v>8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3" x14ac:dyDescent="0.25">
      <c r="B38" s="1" t="s">
        <v>9</v>
      </c>
      <c r="C38" s="2">
        <f>C20*C15</f>
        <v>412500</v>
      </c>
      <c r="D38" s="14">
        <f t="shared" ref="D38:M38" si="1">C38*(100%+$C$48)</f>
        <v>420750</v>
      </c>
      <c r="E38" s="14">
        <f t="shared" si="1"/>
        <v>429165</v>
      </c>
      <c r="F38" s="14">
        <f t="shared" si="1"/>
        <v>437748.3</v>
      </c>
      <c r="G38" s="14">
        <f t="shared" si="1"/>
        <v>446503.266</v>
      </c>
      <c r="H38" s="14">
        <f t="shared" si="1"/>
        <v>455433.33132</v>
      </c>
      <c r="I38" s="14">
        <f t="shared" si="1"/>
        <v>464541.99794640002</v>
      </c>
      <c r="J38" s="14">
        <f t="shared" si="1"/>
        <v>473832.83790532802</v>
      </c>
      <c r="K38" s="14">
        <f t="shared" si="1"/>
        <v>483309.49466343457</v>
      </c>
      <c r="L38" s="14">
        <f t="shared" si="1"/>
        <v>492975.68455670326</v>
      </c>
      <c r="M38" s="14">
        <f t="shared" si="1"/>
        <v>502835.19824783731</v>
      </c>
    </row>
    <row r="39" spans="2:13" x14ac:dyDescent="0.25">
      <c r="B39" s="1" t="s">
        <v>10</v>
      </c>
      <c r="C39" s="2">
        <f>-C38*C47*1.21</f>
        <v>-74868.75</v>
      </c>
      <c r="D39" s="14">
        <f t="shared" ref="D39:M39" si="2">C39*(100%+$C$48)</f>
        <v>-76366.125</v>
      </c>
      <c r="E39" s="14">
        <f t="shared" si="2"/>
        <v>-77893.447499999995</v>
      </c>
      <c r="F39" s="14">
        <f t="shared" si="2"/>
        <v>-79451.316449999998</v>
      </c>
      <c r="G39" s="14">
        <f t="shared" si="2"/>
        <v>-81040.342778999999</v>
      </c>
      <c r="H39" s="14">
        <f t="shared" si="2"/>
        <v>-82661.149634579997</v>
      </c>
      <c r="I39" s="14">
        <f t="shared" si="2"/>
        <v>-84314.372627271601</v>
      </c>
      <c r="J39" s="14">
        <f t="shared" si="2"/>
        <v>-86000.66007981704</v>
      </c>
      <c r="K39" s="14">
        <f t="shared" si="2"/>
        <v>-87720.673281413387</v>
      </c>
      <c r="L39" s="14">
        <f t="shared" si="2"/>
        <v>-89475.086747041656</v>
      </c>
      <c r="M39" s="14">
        <f t="shared" si="2"/>
        <v>-91264.588481982486</v>
      </c>
    </row>
    <row r="40" spans="2:13" x14ac:dyDescent="0.25">
      <c r="B40" s="1" t="s">
        <v>34</v>
      </c>
      <c r="C40" s="2">
        <f>PMT(C51,D51,C32)/12</f>
        <v>-269381.68921093357</v>
      </c>
      <c r="D40" s="14">
        <f>$C$40</f>
        <v>-269381.68921093357</v>
      </c>
      <c r="E40" s="14">
        <f t="shared" ref="E40:M40" si="3">$C$40</f>
        <v>-269381.68921093357</v>
      </c>
      <c r="F40" s="14">
        <f t="shared" si="3"/>
        <v>-269381.68921093357</v>
      </c>
      <c r="G40" s="14">
        <f t="shared" si="3"/>
        <v>-269381.68921093357</v>
      </c>
      <c r="H40" s="14">
        <f t="shared" si="3"/>
        <v>-269381.68921093357</v>
      </c>
      <c r="I40" s="14">
        <f t="shared" si="3"/>
        <v>-269381.68921093357</v>
      </c>
      <c r="J40" s="14">
        <f t="shared" si="3"/>
        <v>-269381.68921093357</v>
      </c>
      <c r="K40" s="14">
        <f t="shared" si="3"/>
        <v>-269381.68921093357</v>
      </c>
      <c r="L40" s="14">
        <f t="shared" si="3"/>
        <v>-269381.68921093357</v>
      </c>
      <c r="M40" s="14">
        <f t="shared" si="3"/>
        <v>-269381.68921093357</v>
      </c>
    </row>
    <row r="41" spans="2:13" x14ac:dyDescent="0.25">
      <c r="B41" s="1" t="s">
        <v>11</v>
      </c>
      <c r="C41" s="2">
        <f>PMT(C52,D52,C33)/12</f>
        <v>-117780.63523555691</v>
      </c>
      <c r="D41" s="14">
        <f>$C$41</f>
        <v>-117780.63523555691</v>
      </c>
      <c r="E41" s="14">
        <f t="shared" ref="E41:M41" si="4">$C$41</f>
        <v>-117780.63523555691</v>
      </c>
      <c r="F41" s="14">
        <f t="shared" si="4"/>
        <v>-117780.63523555691</v>
      </c>
      <c r="G41" s="14">
        <f t="shared" si="4"/>
        <v>-117780.63523555691</v>
      </c>
      <c r="H41" s="14">
        <f t="shared" si="4"/>
        <v>-117780.63523555691</v>
      </c>
      <c r="I41" s="14">
        <f t="shared" si="4"/>
        <v>-117780.63523555691</v>
      </c>
      <c r="J41" s="14">
        <f t="shared" si="4"/>
        <v>-117780.63523555691</v>
      </c>
      <c r="K41" s="14">
        <f t="shared" si="4"/>
        <v>-117780.63523555691</v>
      </c>
      <c r="L41" s="14">
        <f t="shared" si="4"/>
        <v>-117780.63523555691</v>
      </c>
      <c r="M41" s="14">
        <f t="shared" si="4"/>
        <v>-117780.63523555691</v>
      </c>
    </row>
    <row r="42" spans="2:13" x14ac:dyDescent="0.25">
      <c r="B42" s="25" t="s">
        <v>12</v>
      </c>
      <c r="C42" s="12">
        <f>SUM(C38:C41)</f>
        <v>-49531.074446490486</v>
      </c>
      <c r="D42" s="12">
        <f t="shared" ref="D42:M42" si="5">SUM(D38:D41)</f>
        <v>-42778.449446490486</v>
      </c>
      <c r="E42" s="12">
        <f t="shared" si="5"/>
        <v>-35890.771946490495</v>
      </c>
      <c r="F42" s="12">
        <f t="shared" si="5"/>
        <v>-28865.340896490481</v>
      </c>
      <c r="G42" s="12">
        <f t="shared" si="5"/>
        <v>-21699.401225490481</v>
      </c>
      <c r="H42" s="12">
        <f t="shared" si="5"/>
        <v>-14390.1427610705</v>
      </c>
      <c r="I42" s="12">
        <f t="shared" si="5"/>
        <v>-6934.6991273620952</v>
      </c>
      <c r="J42" s="12">
        <f t="shared" si="5"/>
        <v>669.85337902048195</v>
      </c>
      <c r="K42" s="12">
        <f t="shared" si="5"/>
        <v>8426.4969355306966</v>
      </c>
      <c r="L42" s="12">
        <f t="shared" si="5"/>
        <v>16338.273363171102</v>
      </c>
      <c r="M42" s="12">
        <f t="shared" si="5"/>
        <v>24408.285319364353</v>
      </c>
    </row>
    <row r="43" spans="2:13" x14ac:dyDescent="0.25">
      <c r="C43" s="16" t="s">
        <v>16</v>
      </c>
      <c r="D43" s="16" t="s">
        <v>17</v>
      </c>
      <c r="E43" s="16" t="s">
        <v>18</v>
      </c>
      <c r="F43" s="16" t="s">
        <v>19</v>
      </c>
      <c r="G43" s="16" t="s">
        <v>20</v>
      </c>
      <c r="H43" s="16" t="s">
        <v>21</v>
      </c>
      <c r="I43" s="16" t="s">
        <v>22</v>
      </c>
      <c r="J43" s="16" t="s">
        <v>23</v>
      </c>
      <c r="K43" s="16" t="s">
        <v>24</v>
      </c>
      <c r="L43" s="16" t="s">
        <v>25</v>
      </c>
      <c r="M43" s="16" t="s">
        <v>26</v>
      </c>
    </row>
    <row r="44" spans="2:13" x14ac:dyDescent="0.25">
      <c r="B44" s="25" t="s">
        <v>13</v>
      </c>
      <c r="C44" s="12">
        <f>C42*12</f>
        <v>-594372.89335788577</v>
      </c>
      <c r="D44" s="12">
        <f t="shared" ref="D44:M44" si="6">D42*12</f>
        <v>-513341.39335788583</v>
      </c>
      <c r="E44" s="12">
        <f t="shared" si="6"/>
        <v>-430689.26335788594</v>
      </c>
      <c r="F44" s="12">
        <f t="shared" si="6"/>
        <v>-346384.09075788577</v>
      </c>
      <c r="G44" s="12">
        <f t="shared" si="6"/>
        <v>-260392.81470588577</v>
      </c>
      <c r="H44" s="12">
        <f t="shared" si="6"/>
        <v>-172681.71313284599</v>
      </c>
      <c r="I44" s="12">
        <f t="shared" si="6"/>
        <v>-83216.389528345142</v>
      </c>
      <c r="J44" s="12">
        <f t="shared" si="6"/>
        <v>8038.2405482457834</v>
      </c>
      <c r="K44" s="12">
        <f t="shared" si="6"/>
        <v>101117.96322636836</v>
      </c>
      <c r="L44" s="12">
        <f t="shared" si="6"/>
        <v>196059.28035805322</v>
      </c>
      <c r="M44" s="12">
        <f t="shared" si="6"/>
        <v>292899.42383237224</v>
      </c>
    </row>
    <row r="45" spans="2:13" x14ac:dyDescent="0.25">
      <c r="M45" s="18"/>
    </row>
    <row r="46" spans="2:13" x14ac:dyDescent="0.25">
      <c r="B46" s="7" t="s">
        <v>27</v>
      </c>
      <c r="M46" s="14"/>
    </row>
    <row r="47" spans="2:13" x14ac:dyDescent="0.25">
      <c r="B47" s="1" t="s">
        <v>15</v>
      </c>
      <c r="C47" s="10">
        <v>0.15</v>
      </c>
      <c r="E47" s="1" t="s">
        <v>47</v>
      </c>
    </row>
    <row r="48" spans="2:13" x14ac:dyDescent="0.25">
      <c r="B48" s="1" t="s">
        <v>49</v>
      </c>
      <c r="C48" s="10">
        <v>0.02</v>
      </c>
      <c r="E48" s="1" t="s">
        <v>48</v>
      </c>
    </row>
    <row r="49" spans="2:11" ht="5.25" customHeight="1" x14ac:dyDescent="0.25">
      <c r="C49" s="1"/>
    </row>
    <row r="50" spans="2:11" x14ac:dyDescent="0.25">
      <c r="B50" s="7" t="s">
        <v>50</v>
      </c>
      <c r="C50" s="24" t="s">
        <v>51</v>
      </c>
      <c r="D50" s="7" t="s">
        <v>52</v>
      </c>
    </row>
    <row r="51" spans="2:11" x14ac:dyDescent="0.25">
      <c r="B51" s="1" t="s">
        <v>5</v>
      </c>
      <c r="C51" s="28">
        <v>0.03</v>
      </c>
      <c r="D51" s="17">
        <v>30</v>
      </c>
      <c r="E51" s="6" t="s">
        <v>55</v>
      </c>
      <c r="F51" s="6"/>
      <c r="G51" s="6"/>
      <c r="H51" s="23">
        <f>IPMT(C51,1,D51,C32)/12</f>
        <v>-158399.99999999997</v>
      </c>
      <c r="I51" s="6" t="s">
        <v>70</v>
      </c>
      <c r="J51" s="6"/>
      <c r="K51" s="6"/>
    </row>
    <row r="52" spans="2:11" x14ac:dyDescent="0.25">
      <c r="B52" s="1" t="s">
        <v>6</v>
      </c>
      <c r="C52" s="28">
        <v>0.04</v>
      </c>
      <c r="D52" s="17">
        <v>30</v>
      </c>
      <c r="E52" s="17" t="s">
        <v>55</v>
      </c>
      <c r="H52" s="14"/>
    </row>
    <row r="54" spans="2:11" x14ac:dyDescent="0.25">
      <c r="B54" s="15" t="s">
        <v>46</v>
      </c>
    </row>
  </sheetData>
  <mergeCells count="2">
    <mergeCell ref="B9:M10"/>
    <mergeCell ref="B1:M1"/>
  </mergeCells>
  <phoneticPr fontId="4" type="noConversion"/>
  <conditionalFormatting sqref="C42:M42 C44:M44 C45:L45">
    <cfRule type="cellIs" dxfId="5" priority="3" operator="lessThan">
      <formula>0</formula>
    </cfRule>
  </conditionalFormatting>
  <conditionalFormatting sqref="C42:M42">
    <cfRule type="cellIs" dxfId="4" priority="2" operator="greaterThan">
      <formula>0</formula>
    </cfRule>
  </conditionalFormatting>
  <conditionalFormatting sqref="C44:M44 C45:L45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8B57-5866-4A07-B9EF-9DD7D3649ED6}">
  <dimension ref="B1:Q48"/>
  <sheetViews>
    <sheetView zoomScaleNormal="100" workbookViewId="0">
      <selection activeCell="G13" sqref="G13"/>
    </sheetView>
  </sheetViews>
  <sheetFormatPr defaultColWidth="12.5703125" defaultRowHeight="15.75" x14ac:dyDescent="0.25"/>
  <cols>
    <col min="1" max="1" width="3.140625" style="1" customWidth="1"/>
    <col min="2" max="2" width="54.85546875" style="1" customWidth="1"/>
    <col min="3" max="3" width="14" style="2" bestFit="1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7" t="s">
        <v>73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3" spans="2:13" x14ac:dyDescent="0.25">
      <c r="B3" s="43" t="s">
        <v>61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3" ht="21" x14ac:dyDescent="0.25">
      <c r="B5" s="3" t="s">
        <v>64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3" ht="21" x14ac:dyDescent="0.25">
      <c r="B6" s="30" t="s">
        <v>63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21" x14ac:dyDescent="0.25">
      <c r="B7" s="4" t="s">
        <v>62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x14ac:dyDescent="0.25">
      <c r="C8" s="8" t="s">
        <v>54</v>
      </c>
      <c r="D8" s="7"/>
      <c r="E8" s="7" t="s">
        <v>53</v>
      </c>
    </row>
    <row r="9" spans="2:13" x14ac:dyDescent="0.25">
      <c r="B9" s="1" t="s">
        <v>14</v>
      </c>
      <c r="C9" s="3"/>
      <c r="E9" s="1" t="s">
        <v>56</v>
      </c>
      <c r="L9" s="2"/>
    </row>
    <row r="10" spans="2:13" ht="18" x14ac:dyDescent="0.25">
      <c r="B10" s="1" t="s">
        <v>33</v>
      </c>
      <c r="C10" s="3"/>
      <c r="E10" s="1" t="s">
        <v>57</v>
      </c>
      <c r="L10" s="2"/>
      <c r="M10" s="2"/>
    </row>
    <row r="11" spans="2:13" ht="18" x14ac:dyDescent="0.25">
      <c r="B11" s="5" t="s">
        <v>32</v>
      </c>
      <c r="C11" s="2">
        <f>C9*C10*1.2</f>
        <v>0</v>
      </c>
      <c r="E11" s="1" t="s">
        <v>36</v>
      </c>
    </row>
    <row r="12" spans="2:13" ht="10.5" customHeight="1" x14ac:dyDescent="0.25"/>
    <row r="13" spans="2:13" ht="18" x14ac:dyDescent="0.25">
      <c r="B13" s="1" t="s">
        <v>31</v>
      </c>
      <c r="C13" s="3"/>
      <c r="E13" s="19" t="s">
        <v>35</v>
      </c>
    </row>
    <row r="14" spans="2:13" x14ac:dyDescent="0.25">
      <c r="B14" s="1" t="s">
        <v>29</v>
      </c>
      <c r="C14" s="32">
        <f>C13*C10</f>
        <v>0</v>
      </c>
      <c r="E14" s="33" t="s">
        <v>37</v>
      </c>
      <c r="F14" s="33"/>
    </row>
    <row r="15" spans="2:13" ht="10.5" customHeight="1" x14ac:dyDescent="0.25"/>
    <row r="16" spans="2:13" ht="18" x14ac:dyDescent="0.25">
      <c r="B16" s="1" t="s">
        <v>30</v>
      </c>
      <c r="C16" s="31"/>
      <c r="E16" s="1" t="s">
        <v>38</v>
      </c>
    </row>
    <row r="18" spans="2:17" x14ac:dyDescent="0.25">
      <c r="B18" s="1" t="s">
        <v>1</v>
      </c>
      <c r="C18" s="32">
        <f>C11*C16</f>
        <v>0</v>
      </c>
      <c r="E18" s="33" t="s">
        <v>37</v>
      </c>
      <c r="F18" s="33"/>
    </row>
    <row r="19" spans="2:17" x14ac:dyDescent="0.25">
      <c r="B19" s="1" t="s">
        <v>2</v>
      </c>
      <c r="C19" s="30">
        <f>C18*6%</f>
        <v>0</v>
      </c>
      <c r="E19" s="1" t="s">
        <v>39</v>
      </c>
    </row>
    <row r="20" spans="2:17" x14ac:dyDescent="0.25">
      <c r="B20" s="1" t="s">
        <v>59</v>
      </c>
      <c r="C20" s="32">
        <f>IF(C19&gt;13000000,-13000000,-C19)</f>
        <v>0</v>
      </c>
      <c r="E20" s="1" t="s">
        <v>68</v>
      </c>
    </row>
    <row r="21" spans="2:17" x14ac:dyDescent="0.25">
      <c r="B21" s="7" t="s">
        <v>60</v>
      </c>
      <c r="C21" s="34">
        <f>SUM(C18:C20)</f>
        <v>0</v>
      </c>
      <c r="E21" s="33" t="s">
        <v>37</v>
      </c>
      <c r="F21" s="33"/>
    </row>
    <row r="23" spans="2:17" x14ac:dyDescent="0.25">
      <c r="B23" s="7" t="s">
        <v>58</v>
      </c>
    </row>
    <row r="24" spans="2:17" x14ac:dyDescent="0.25">
      <c r="B24" s="1" t="s">
        <v>3</v>
      </c>
      <c r="C24" s="32">
        <f>$C$21*D24</f>
        <v>0</v>
      </c>
      <c r="D24" s="9"/>
      <c r="E24" s="1" t="s">
        <v>41</v>
      </c>
    </row>
    <row r="25" spans="2:17" x14ac:dyDescent="0.25">
      <c r="B25" s="1" t="s">
        <v>65</v>
      </c>
      <c r="C25" s="31"/>
      <c r="D25" s="21" t="e">
        <f>C25/C21</f>
        <v>#DIV/0!</v>
      </c>
      <c r="E25" s="6" t="s">
        <v>67</v>
      </c>
      <c r="F25" s="6"/>
      <c r="G25" s="6"/>
      <c r="H25" s="6"/>
      <c r="I25" s="6"/>
      <c r="J25" s="6"/>
      <c r="N25" s="36" t="s">
        <v>69</v>
      </c>
      <c r="O25" s="36"/>
      <c r="P25" s="36"/>
      <c r="Q25" s="36"/>
    </row>
    <row r="26" spans="2:17" x14ac:dyDescent="0.25">
      <c r="B26" s="11" t="s">
        <v>66</v>
      </c>
      <c r="C26" s="32">
        <f t="shared" ref="C26:C27" si="0">$C$21*D26</f>
        <v>0</v>
      </c>
      <c r="D26" s="9"/>
      <c r="E26" s="6" t="s">
        <v>43</v>
      </c>
      <c r="F26" s="6"/>
      <c r="G26" s="6"/>
      <c r="H26" s="6"/>
      <c r="I26" s="6"/>
      <c r="J26" s="6"/>
      <c r="N26" s="36" t="s">
        <v>69</v>
      </c>
      <c r="O26" s="36"/>
      <c r="P26" s="36"/>
      <c r="Q26" s="36"/>
    </row>
    <row r="27" spans="2:17" x14ac:dyDescent="0.25">
      <c r="B27" s="1" t="s">
        <v>6</v>
      </c>
      <c r="C27" s="32" t="e">
        <f t="shared" si="0"/>
        <v>#DIV/0!</v>
      </c>
      <c r="D27" s="35" t="e">
        <f>1-SUM(D24:D26)</f>
        <v>#DIV/0!</v>
      </c>
      <c r="E27" s="1" t="s">
        <v>44</v>
      </c>
    </row>
    <row r="28" spans="2:17" x14ac:dyDescent="0.25">
      <c r="B28" s="1" t="s">
        <v>7</v>
      </c>
      <c r="C28" s="2" t="e">
        <f>C21-SUM(C24:C27)</f>
        <v>#DIV/0!</v>
      </c>
      <c r="E28" s="22" t="s">
        <v>45</v>
      </c>
      <c r="F28" s="22"/>
    </row>
    <row r="31" spans="2:17" x14ac:dyDescent="0.25">
      <c r="B31" s="26" t="s">
        <v>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2:17" x14ac:dyDescent="0.25">
      <c r="B32" s="1" t="s">
        <v>9</v>
      </c>
      <c r="C32" s="2">
        <f>C14*C9</f>
        <v>0</v>
      </c>
      <c r="D32" s="14">
        <f t="shared" ref="D32:M33" si="1">C32*(100%+$C$42)</f>
        <v>0</v>
      </c>
      <c r="E32" s="14">
        <f t="shared" si="1"/>
        <v>0</v>
      </c>
      <c r="F32" s="14">
        <f t="shared" si="1"/>
        <v>0</v>
      </c>
      <c r="G32" s="14">
        <f t="shared" si="1"/>
        <v>0</v>
      </c>
      <c r="H32" s="14">
        <f t="shared" si="1"/>
        <v>0</v>
      </c>
      <c r="I32" s="14">
        <f t="shared" si="1"/>
        <v>0</v>
      </c>
      <c r="J32" s="14">
        <f t="shared" si="1"/>
        <v>0</v>
      </c>
      <c r="K32" s="14">
        <f t="shared" si="1"/>
        <v>0</v>
      </c>
      <c r="L32" s="14">
        <f t="shared" si="1"/>
        <v>0</v>
      </c>
      <c r="M32" s="14">
        <f t="shared" si="1"/>
        <v>0</v>
      </c>
    </row>
    <row r="33" spans="2:14" x14ac:dyDescent="0.25">
      <c r="B33" s="1" t="s">
        <v>10</v>
      </c>
      <c r="C33" s="2">
        <f>-C32*C41*1.21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  <c r="H33" s="14">
        <f t="shared" si="1"/>
        <v>0</v>
      </c>
      <c r="I33" s="14">
        <f t="shared" si="1"/>
        <v>0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</row>
    <row r="34" spans="2:14" x14ac:dyDescent="0.25">
      <c r="B34" s="1" t="s">
        <v>34</v>
      </c>
      <c r="C34" s="2">
        <f>PMT(C45,D45,C26)/12</f>
        <v>0</v>
      </c>
      <c r="D34" s="14">
        <f>$C$34</f>
        <v>0</v>
      </c>
      <c r="E34" s="14">
        <f t="shared" ref="E34:M34" si="2">$C$34</f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</row>
    <row r="35" spans="2:14" x14ac:dyDescent="0.25">
      <c r="B35" s="1" t="s">
        <v>11</v>
      </c>
      <c r="C35" s="2" t="e">
        <f>PMT(C46,D46,C27)/12</f>
        <v>#DIV/0!</v>
      </c>
      <c r="D35" s="14" t="e">
        <f>$C$35</f>
        <v>#DIV/0!</v>
      </c>
      <c r="E35" s="14" t="e">
        <f t="shared" ref="E35:M35" si="3">$C$35</f>
        <v>#DIV/0!</v>
      </c>
      <c r="F35" s="14" t="e">
        <f t="shared" si="3"/>
        <v>#DIV/0!</v>
      </c>
      <c r="G35" s="14" t="e">
        <f t="shared" si="3"/>
        <v>#DIV/0!</v>
      </c>
      <c r="H35" s="14" t="e">
        <f t="shared" si="3"/>
        <v>#DIV/0!</v>
      </c>
      <c r="I35" s="14" t="e">
        <f t="shared" si="3"/>
        <v>#DIV/0!</v>
      </c>
      <c r="J35" s="14" t="e">
        <f t="shared" si="3"/>
        <v>#DIV/0!</v>
      </c>
      <c r="K35" s="14" t="e">
        <f t="shared" si="3"/>
        <v>#DIV/0!</v>
      </c>
      <c r="L35" s="14" t="e">
        <f t="shared" si="3"/>
        <v>#DIV/0!</v>
      </c>
      <c r="M35" s="14" t="e">
        <f t="shared" si="3"/>
        <v>#DIV/0!</v>
      </c>
    </row>
    <row r="36" spans="2:14" x14ac:dyDescent="0.25">
      <c r="B36" s="25" t="s">
        <v>12</v>
      </c>
      <c r="C36" s="12" t="e">
        <f>SUM(C32:C35)</f>
        <v>#DIV/0!</v>
      </c>
      <c r="D36" s="12" t="e">
        <f t="shared" ref="D36:M36" si="4">SUM(D32:D35)</f>
        <v>#DIV/0!</v>
      </c>
      <c r="E36" s="12" t="e">
        <f t="shared" si="4"/>
        <v>#DIV/0!</v>
      </c>
      <c r="F36" s="12" t="e">
        <f t="shared" si="4"/>
        <v>#DIV/0!</v>
      </c>
      <c r="G36" s="12" t="e">
        <f t="shared" si="4"/>
        <v>#DIV/0!</v>
      </c>
      <c r="H36" s="12" t="e">
        <f t="shared" si="4"/>
        <v>#DIV/0!</v>
      </c>
      <c r="I36" s="12" t="e">
        <f t="shared" si="4"/>
        <v>#DIV/0!</v>
      </c>
      <c r="J36" s="12" t="e">
        <f t="shared" si="4"/>
        <v>#DIV/0!</v>
      </c>
      <c r="K36" s="12" t="e">
        <f t="shared" si="4"/>
        <v>#DIV/0!</v>
      </c>
      <c r="L36" s="12" t="e">
        <f t="shared" si="4"/>
        <v>#DIV/0!</v>
      </c>
      <c r="M36" s="12" t="e">
        <f t="shared" si="4"/>
        <v>#DIV/0!</v>
      </c>
    </row>
    <row r="37" spans="2:14" x14ac:dyDescent="0.25">
      <c r="C37" s="16" t="s">
        <v>16</v>
      </c>
      <c r="D37" s="16" t="s">
        <v>17</v>
      </c>
      <c r="E37" s="16" t="s">
        <v>18</v>
      </c>
      <c r="F37" s="16" t="s">
        <v>19</v>
      </c>
      <c r="G37" s="16" t="s">
        <v>20</v>
      </c>
      <c r="H37" s="16" t="s">
        <v>21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 t="s">
        <v>26</v>
      </c>
      <c r="N37" s="16" t="s">
        <v>28</v>
      </c>
    </row>
    <row r="38" spans="2:14" x14ac:dyDescent="0.25">
      <c r="B38" s="25" t="s">
        <v>13</v>
      </c>
      <c r="C38" s="12" t="e">
        <f>C36*12</f>
        <v>#DIV/0!</v>
      </c>
      <c r="D38" s="12" t="e">
        <f t="shared" ref="D38:M38" si="5">D36*12</f>
        <v>#DIV/0!</v>
      </c>
      <c r="E38" s="12" t="e">
        <f t="shared" si="5"/>
        <v>#DIV/0!</v>
      </c>
      <c r="F38" s="12" t="e">
        <f t="shared" si="5"/>
        <v>#DIV/0!</v>
      </c>
      <c r="G38" s="12" t="e">
        <f t="shared" si="5"/>
        <v>#DIV/0!</v>
      </c>
      <c r="H38" s="12" t="e">
        <f t="shared" si="5"/>
        <v>#DIV/0!</v>
      </c>
      <c r="I38" s="12" t="e">
        <f t="shared" si="5"/>
        <v>#DIV/0!</v>
      </c>
      <c r="J38" s="12" t="e">
        <f t="shared" si="5"/>
        <v>#DIV/0!</v>
      </c>
      <c r="K38" s="12" t="e">
        <f t="shared" si="5"/>
        <v>#DIV/0!</v>
      </c>
      <c r="L38" s="12" t="e">
        <f t="shared" si="5"/>
        <v>#DIV/0!</v>
      </c>
      <c r="M38" s="12" t="e">
        <f t="shared" si="5"/>
        <v>#DIV/0!</v>
      </c>
    </row>
    <row r="39" spans="2:14" x14ac:dyDescent="0.25">
      <c r="M39" s="18"/>
    </row>
    <row r="40" spans="2:14" x14ac:dyDescent="0.25">
      <c r="B40" s="7" t="s">
        <v>27</v>
      </c>
      <c r="M40" s="14"/>
    </row>
    <row r="41" spans="2:14" x14ac:dyDescent="0.25">
      <c r="B41" s="1" t="s">
        <v>15</v>
      </c>
      <c r="C41" s="10">
        <v>0.15</v>
      </c>
      <c r="E41" s="1" t="s">
        <v>47</v>
      </c>
    </row>
    <row r="42" spans="2:14" x14ac:dyDescent="0.25">
      <c r="B42" s="1" t="s">
        <v>49</v>
      </c>
      <c r="C42" s="10">
        <v>0.02</v>
      </c>
      <c r="E42" s="1" t="s">
        <v>48</v>
      </c>
    </row>
    <row r="43" spans="2:14" ht="5.25" customHeight="1" x14ac:dyDescent="0.25">
      <c r="C43" s="1"/>
    </row>
    <row r="44" spans="2:14" ht="16.5" thickBot="1" x14ac:dyDescent="0.3">
      <c r="B44" s="7" t="s">
        <v>50</v>
      </c>
      <c r="C44" s="24" t="s">
        <v>51</v>
      </c>
      <c r="D44" s="7" t="s">
        <v>52</v>
      </c>
    </row>
    <row r="45" spans="2:14" ht="16.5" thickBot="1" x14ac:dyDescent="0.3">
      <c r="B45" s="1" t="s">
        <v>5</v>
      </c>
      <c r="C45" s="28">
        <v>0.03</v>
      </c>
      <c r="D45" s="17">
        <v>30</v>
      </c>
      <c r="E45" s="6" t="s">
        <v>55</v>
      </c>
      <c r="F45" s="6"/>
      <c r="G45" s="6"/>
      <c r="H45" s="37">
        <f>IPMT(C45,1,D45,C26)/12</f>
        <v>0</v>
      </c>
      <c r="I45" s="38" t="s">
        <v>71</v>
      </c>
      <c r="J45" s="38"/>
      <c r="K45" s="39"/>
    </row>
    <row r="46" spans="2:14" x14ac:dyDescent="0.25">
      <c r="B46" s="1" t="s">
        <v>6</v>
      </c>
      <c r="C46" s="28">
        <v>0.04</v>
      </c>
      <c r="D46" s="17">
        <v>30</v>
      </c>
      <c r="E46" s="17" t="s">
        <v>55</v>
      </c>
      <c r="H46" s="14"/>
    </row>
    <row r="48" spans="2:14" x14ac:dyDescent="0.25">
      <c r="B48" s="40" t="s">
        <v>46</v>
      </c>
    </row>
  </sheetData>
  <mergeCells count="2">
    <mergeCell ref="B3:M4"/>
    <mergeCell ref="B1:M1"/>
  </mergeCells>
  <conditionalFormatting sqref="C36:M36 C38:M38 C39:L39">
    <cfRule type="cellIs" dxfId="2" priority="3" operator="lessThan">
      <formula>0</formula>
    </cfRule>
  </conditionalFormatting>
  <conditionalFormatting sqref="C36:M36">
    <cfRule type="cellIs" dxfId="1" priority="2" operator="greaterThan">
      <formula>0</formula>
    </cfRule>
  </conditionalFormatting>
  <conditionalFormatting sqref="C38:M38 C39:L3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Modelovy_priklad</vt:lpstr>
      <vt:lpstr>Model - 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Kelner Pavel</dc:creator>
  <cp:lastModifiedBy>Janská Kvetoslava</cp:lastModifiedBy>
  <dcterms:created xsi:type="dcterms:W3CDTF">2023-10-02T15:23:30Z</dcterms:created>
  <dcterms:modified xsi:type="dcterms:W3CDTF">2024-02-06T16:06:00Z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2023-10-02T15:25:53Z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4286cb54-ce1b-4d2b-abea-3b05f2d1e0f8</vt:lpwstr>
  </property>
  <property fmtid="{D5CDD505-2E9C-101B-9397-08002B2CF9AE}" pid="8" name="MSIP_Label_38939b85-7e40-4a1d-91e1-0e84c3b219d7_ContentBits">
    <vt:lpwstr>0</vt:lpwstr>
  </property>
</Properties>
</file>